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Со старого диска C\Desktop\Cmar Inform\Симар 2\"/>
    </mc:Choice>
  </mc:AlternateContent>
  <xr:revisionPtr revIDLastSave="0" documentId="8_{272A9721-CD32-4243-9005-53F69B71B6CF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Проект" sheetId="47" r:id="rId1"/>
    <sheet name="Исх.данные" sheetId="1" r:id="rId2"/>
    <sheet name="График реализации" sheetId="31" r:id="rId3"/>
    <sheet name="Прогноз цен" sheetId="44" r:id="rId4"/>
    <sheet name="Инвестиции" sheetId="18" r:id="rId5"/>
    <sheet name="Продажи и Выручка" sheetId="28" r:id="rId6"/>
    <sheet name="Переменные издержки проекта" sheetId="22" r:id="rId7"/>
    <sheet name="Постоянные издержки проекта" sheetId="45" r:id="rId8"/>
    <sheet name="Персонал" sheetId="46" r:id="rId9"/>
    <sheet name="Налоги" sheetId="42" r:id="rId10"/>
    <sheet name="ДДС" sheetId="5" r:id="rId11"/>
    <sheet name="ОПиУ" sheetId="16" r:id="rId12"/>
    <sheet name="Фин. показатели" sheetId="34" r:id="rId13"/>
    <sheet name="Анализ чувствительности" sheetId="30" r:id="rId14"/>
    <sheet name="Точка безубыточности" sheetId="41" r:id="rId15"/>
    <sheet name="Анализ безубыточности" sheetId="13" state="hidden" r:id="rId16"/>
    <sheet name="Ст.дисконт" sheetId="39" r:id="rId17"/>
  </sheets>
  <externalReferences>
    <externalReference r:id="rId18"/>
    <externalReference r:id="rId19"/>
    <externalReference r:id="rId20"/>
    <externalReference r:id="rId21"/>
  </externalReferences>
  <definedNames>
    <definedName name="_ftn1" localSheetId="5">'Продажи и Выручка'!#REF!</definedName>
    <definedName name="_ftn2" localSheetId="5">'Продажи и Выручка'!#REF!</definedName>
    <definedName name="_ftnref1" localSheetId="5">'Продажи и Выручка'!#REF!</definedName>
    <definedName name="_ftnref2" localSheetId="5">'Продажи и Выручка'!#REF!</definedName>
    <definedName name="_GoBack" localSheetId="4">Инвестиции!#REF!</definedName>
    <definedName name="_Toc368389923" localSheetId="4">Инвестиции!#REF!</definedName>
    <definedName name="_xlnm._FilterDatabase" localSheetId="1" hidden="1">Исх.данные!#REF!</definedName>
    <definedName name="БюджетПрезент">'[1]Imput 2'!$G$113:$P$113</definedName>
    <definedName name="Исходные_данные">Проект!$N$5</definedName>
    <definedName name="КоэфСезонностиПродажКолок">'[1]Imput 2'!$N$11:$Y$11</definedName>
    <definedName name="КоэфСезонностиПродажШум2016">'[1]Imput 2'!$N$13:$Y$13</definedName>
    <definedName name="КоэфСезонностиПродажШум2017">'[1]Imput 2'!$N$12:$Y$12</definedName>
    <definedName name="КурсД" localSheetId="0">'[2]Исходные данные'!$D$36</definedName>
    <definedName name="КурсД">'[3]Исходные данные'!$D$36</definedName>
    <definedName name="Кчувств" localSheetId="0">'[2]Анализ чувствительности'!$A$2</definedName>
    <definedName name="Кчувств">'[3]Анализ чувствительности'!$A$2</definedName>
    <definedName name="мес">[4]Исх.данные!$C$49:$N$49</definedName>
    <definedName name="НалПриб" localSheetId="0">'[2]Исходные данные'!$D$21</definedName>
    <definedName name="НалПриб">'[3]Исходные данные'!$D$21</definedName>
    <definedName name="НДС" localSheetId="0">'[2]Исходные данные'!$D$18</definedName>
    <definedName name="НДС">'[3]Исходные данные'!$D$18</definedName>
    <definedName name="НомерГода">'[1]Imput 2'!$G$105:$P$105</definedName>
    <definedName name="НомерМесяца">'[1]Imput 2'!$N$1:$Y$1</definedName>
    <definedName name="Прирост" localSheetId="0">'[2]Исходные данные'!$D$27</definedName>
    <definedName name="Прирост">'[3]Исходные данные'!$D$27</definedName>
    <definedName name="ПроцентКред" localSheetId="0">'[2]Исходные данные'!$D$33</definedName>
    <definedName name="ПроцентКред">'[3]Исходные данные'!$D$33</definedName>
    <definedName name="СуммКред" localSheetId="0">'[2]Исходные данные'!$D$32</definedName>
    <definedName name="СуммКред">'[3]Исходные данные'!$D$32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7" i="1" l="1"/>
  <c r="B66" i="1"/>
  <c r="B65" i="1"/>
  <c r="B64" i="1"/>
  <c r="B63" i="1"/>
  <c r="B62" i="1"/>
  <c r="B61" i="1"/>
  <c r="B60" i="1"/>
  <c r="B59" i="1"/>
  <c r="B58" i="1"/>
  <c r="B57" i="1"/>
  <c r="B56" i="1"/>
  <c r="B28" i="1"/>
  <c r="B27" i="1"/>
  <c r="B26" i="1"/>
  <c r="B25" i="1"/>
  <c r="B24" i="1"/>
  <c r="C34" i="1"/>
  <c r="C33" i="1"/>
  <c r="C32" i="1"/>
  <c r="C31" i="1"/>
  <c r="C30" i="1"/>
  <c r="B35" i="1"/>
  <c r="B34" i="1"/>
  <c r="B33" i="1"/>
  <c r="B32" i="1"/>
  <c r="B31" i="1"/>
  <c r="B30" i="1"/>
  <c r="B9" i="42" l="1"/>
  <c r="B79" i="5" l="1"/>
  <c r="B66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C25" i="5"/>
  <c r="D12" i="5"/>
  <c r="E12" i="5"/>
  <c r="F12" i="5"/>
  <c r="G12" i="5"/>
  <c r="H12" i="5"/>
  <c r="I12" i="5"/>
  <c r="J12" i="5"/>
  <c r="K12" i="5"/>
  <c r="L12" i="5"/>
  <c r="M12" i="5"/>
  <c r="N12" i="5"/>
  <c r="DL12" i="5"/>
  <c r="DM12" i="5"/>
  <c r="DN12" i="5"/>
  <c r="DO12" i="5"/>
  <c r="DP12" i="5"/>
  <c r="DQ12" i="5"/>
  <c r="DR12" i="5"/>
  <c r="DS12" i="5"/>
  <c r="DT12" i="5"/>
  <c r="DU12" i="5"/>
  <c r="DV12" i="5"/>
  <c r="DW12" i="5"/>
  <c r="DX12" i="5"/>
  <c r="DY12" i="5"/>
  <c r="DZ12" i="5"/>
  <c r="EA12" i="5"/>
  <c r="EB12" i="5"/>
  <c r="EC12" i="5"/>
  <c r="ED12" i="5"/>
  <c r="C12" i="5"/>
  <c r="M66" i="5" l="1"/>
  <c r="C79" i="5"/>
  <c r="C66" i="5"/>
  <c r="M79" i="5"/>
  <c r="B74" i="5"/>
  <c r="B75" i="5"/>
  <c r="B76" i="5"/>
  <c r="B77" i="5"/>
  <c r="B78" i="5"/>
  <c r="B73" i="5"/>
  <c r="N21" i="5" l="1"/>
  <c r="O21" i="5"/>
  <c r="P21" i="5"/>
  <c r="Q21" i="5"/>
  <c r="R21" i="5"/>
  <c r="N22" i="5"/>
  <c r="O22" i="5"/>
  <c r="P22" i="5"/>
  <c r="Q22" i="5"/>
  <c r="R22" i="5"/>
  <c r="N23" i="5"/>
  <c r="O23" i="5"/>
  <c r="P23" i="5"/>
  <c r="Q23" i="5"/>
  <c r="R23" i="5"/>
  <c r="N24" i="5"/>
  <c r="O24" i="5"/>
  <c r="P24" i="5"/>
  <c r="Q24" i="5"/>
  <c r="R24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N19" i="5"/>
  <c r="DO19" i="5"/>
  <c r="DP19" i="5"/>
  <c r="DQ19" i="5"/>
  <c r="DR19" i="5"/>
  <c r="DS19" i="5"/>
  <c r="DT19" i="5"/>
  <c r="DU19" i="5"/>
  <c r="DV19" i="5"/>
  <c r="DW19" i="5"/>
  <c r="DX19" i="5"/>
  <c r="DY19" i="5"/>
  <c r="DZ19" i="5"/>
  <c r="EA19" i="5"/>
  <c r="EB19" i="5"/>
  <c r="EC19" i="5"/>
  <c r="ED19" i="5"/>
  <c r="B3" i="34" l="1"/>
  <c r="C81" i="5"/>
  <c r="D81" i="5"/>
  <c r="K81" i="5"/>
  <c r="L81" i="5"/>
  <c r="M81" i="5"/>
  <c r="C82" i="5"/>
  <c r="D82" i="5"/>
  <c r="E82" i="5"/>
  <c r="L82" i="5"/>
  <c r="M82" i="5"/>
  <c r="E83" i="5"/>
  <c r="F83" i="5"/>
  <c r="M83" i="5"/>
  <c r="J84" i="5"/>
  <c r="K84" i="5"/>
  <c r="L84" i="5"/>
  <c r="M84" i="5"/>
  <c r="M68" i="5"/>
  <c r="M69" i="5"/>
  <c r="M70" i="5"/>
  <c r="M71" i="5"/>
  <c r="L68" i="5"/>
  <c r="L69" i="5"/>
  <c r="L71" i="5"/>
  <c r="K68" i="5"/>
  <c r="K71" i="5"/>
  <c r="J71" i="5"/>
  <c r="F70" i="5"/>
  <c r="E69" i="5"/>
  <c r="E70" i="5"/>
  <c r="D68" i="5"/>
  <c r="D69" i="5"/>
  <c r="D70" i="5"/>
  <c r="C68" i="5"/>
  <c r="C69" i="5"/>
  <c r="C70" i="5"/>
  <c r="C71" i="5"/>
  <c r="C67" i="5"/>
  <c r="B12" i="16" l="1"/>
  <c r="C21" i="45"/>
  <c r="M10" i="42"/>
  <c r="B19" i="42" s="1"/>
  <c r="P10" i="42" l="1"/>
  <c r="S10" i="42" s="1"/>
  <c r="V10" i="42" l="1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D21" i="5"/>
  <c r="E21" i="5"/>
  <c r="F21" i="5"/>
  <c r="G21" i="5"/>
  <c r="H21" i="5"/>
  <c r="I21" i="5"/>
  <c r="J21" i="5"/>
  <c r="K21" i="5"/>
  <c r="L21" i="5"/>
  <c r="M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DG21" i="5"/>
  <c r="DH21" i="5"/>
  <c r="DI21" i="5"/>
  <c r="DJ21" i="5"/>
  <c r="DK21" i="5"/>
  <c r="DL21" i="5"/>
  <c r="DM21" i="5"/>
  <c r="DN21" i="5"/>
  <c r="DO21" i="5"/>
  <c r="DP21" i="5"/>
  <c r="DQ21" i="5"/>
  <c r="DR21" i="5"/>
  <c r="DS21" i="5"/>
  <c r="DT21" i="5"/>
  <c r="DU21" i="5"/>
  <c r="DV21" i="5"/>
  <c r="DW21" i="5"/>
  <c r="DX21" i="5"/>
  <c r="DY21" i="5"/>
  <c r="DZ21" i="5"/>
  <c r="EA21" i="5"/>
  <c r="EB21" i="5"/>
  <c r="EC21" i="5"/>
  <c r="ED21" i="5"/>
  <c r="D22" i="5"/>
  <c r="E22" i="5"/>
  <c r="F22" i="5"/>
  <c r="G22" i="5"/>
  <c r="H22" i="5"/>
  <c r="I22" i="5"/>
  <c r="J22" i="5"/>
  <c r="K22" i="5"/>
  <c r="L22" i="5"/>
  <c r="M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B22" i="5"/>
  <c r="EC22" i="5"/>
  <c r="ED22" i="5"/>
  <c r="D23" i="5"/>
  <c r="E23" i="5"/>
  <c r="F23" i="5"/>
  <c r="G23" i="5"/>
  <c r="H23" i="5"/>
  <c r="I23" i="5"/>
  <c r="J23" i="5"/>
  <c r="K23" i="5"/>
  <c r="L23" i="5"/>
  <c r="M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D24" i="5"/>
  <c r="E24" i="5"/>
  <c r="F24" i="5"/>
  <c r="G24" i="5"/>
  <c r="H24" i="5"/>
  <c r="I24" i="5"/>
  <c r="J24" i="5"/>
  <c r="K24" i="5"/>
  <c r="L24" i="5"/>
  <c r="M24" i="5"/>
  <c r="S24" i="5"/>
  <c r="T24" i="5"/>
  <c r="U24" i="5"/>
  <c r="V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C24" i="5"/>
  <c r="C22" i="5"/>
  <c r="C23" i="5"/>
  <c r="C21" i="5"/>
  <c r="E8" i="18"/>
  <c r="E9" i="18"/>
  <c r="E10" i="18"/>
  <c r="E11" i="18"/>
  <c r="E12" i="18"/>
  <c r="E13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15" i="18"/>
  <c r="D14" i="18"/>
  <c r="S14" i="18"/>
  <c r="P20" i="5" s="1"/>
  <c r="C32" i="45"/>
  <c r="F16" i="45"/>
  <c r="E16" i="45"/>
  <c r="B30" i="44"/>
  <c r="C30" i="44" s="1"/>
  <c r="B29" i="44"/>
  <c r="AB13" i="45" s="1"/>
  <c r="D31" i="45" s="1"/>
  <c r="A30" i="44"/>
  <c r="A29" i="44"/>
  <c r="B14" i="45"/>
  <c r="B32" i="45" s="1"/>
  <c r="C76" i="5" l="1"/>
  <c r="CG18" i="5"/>
  <c r="DU18" i="5"/>
  <c r="C75" i="5"/>
  <c r="DY18" i="5"/>
  <c r="DI18" i="5"/>
  <c r="CS18" i="5"/>
  <c r="CC18" i="5"/>
  <c r="CW18" i="5"/>
  <c r="EB18" i="5"/>
  <c r="DX18" i="5"/>
  <c r="DT18" i="5"/>
  <c r="DP18" i="5"/>
  <c r="DL18" i="5"/>
  <c r="C77" i="5"/>
  <c r="C78" i="5"/>
  <c r="M76" i="5"/>
  <c r="L76" i="5"/>
  <c r="K76" i="5"/>
  <c r="J76" i="5"/>
  <c r="I76" i="5"/>
  <c r="H76" i="5"/>
  <c r="G76" i="5"/>
  <c r="E76" i="5"/>
  <c r="D76" i="5"/>
  <c r="M74" i="5"/>
  <c r="L74" i="5"/>
  <c r="K74" i="5"/>
  <c r="J74" i="5"/>
  <c r="I74" i="5"/>
  <c r="M78" i="5"/>
  <c r="L78" i="5"/>
  <c r="K78" i="5"/>
  <c r="J78" i="5"/>
  <c r="I78" i="5"/>
  <c r="H78" i="5"/>
  <c r="G78" i="5"/>
  <c r="F78" i="5"/>
  <c r="E78" i="5"/>
  <c r="M77" i="5"/>
  <c r="L77" i="5"/>
  <c r="K77" i="5"/>
  <c r="J77" i="5"/>
  <c r="I77" i="5"/>
  <c r="H77" i="5"/>
  <c r="F77" i="5"/>
  <c r="E77" i="5"/>
  <c r="D77" i="5"/>
  <c r="M75" i="5"/>
  <c r="L75" i="5"/>
  <c r="K75" i="5"/>
  <c r="J75" i="5"/>
  <c r="I75" i="5"/>
  <c r="H75" i="5"/>
  <c r="G75" i="5"/>
  <c r="F75" i="5"/>
  <c r="D75" i="5"/>
  <c r="ED18" i="5"/>
  <c r="DN18" i="5"/>
  <c r="DE18" i="5"/>
  <c r="DA18" i="5"/>
  <c r="CO18" i="5"/>
  <c r="CK18" i="5"/>
  <c r="BY18" i="5"/>
  <c r="DS18" i="5"/>
  <c r="DO18" i="5"/>
  <c r="DD18" i="5"/>
  <c r="CV18" i="5"/>
  <c r="CN18" i="5"/>
  <c r="CF18" i="5"/>
  <c r="CB18" i="5"/>
  <c r="DZ18" i="5"/>
  <c r="DR18" i="5"/>
  <c r="DF18" i="5"/>
  <c r="CX18" i="5"/>
  <c r="CP18" i="5"/>
  <c r="CH18" i="5"/>
  <c r="CD18" i="5"/>
  <c r="EC18" i="5"/>
  <c r="DM18" i="5"/>
  <c r="EA18" i="5"/>
  <c r="DK18" i="5"/>
  <c r="DC18" i="5"/>
  <c r="CU18" i="5"/>
  <c r="CM18" i="5"/>
  <c r="CE18" i="5"/>
  <c r="BW18" i="5"/>
  <c r="DH18" i="5"/>
  <c r="CZ18" i="5"/>
  <c r="CR18" i="5"/>
  <c r="CJ18" i="5"/>
  <c r="BX18" i="5"/>
  <c r="DV18" i="5"/>
  <c r="DJ18" i="5"/>
  <c r="DB18" i="5"/>
  <c r="CT18" i="5"/>
  <c r="CL18" i="5"/>
  <c r="BZ18" i="5"/>
  <c r="DQ18" i="5"/>
  <c r="DW18" i="5"/>
  <c r="DG18" i="5"/>
  <c r="CY18" i="5"/>
  <c r="CQ18" i="5"/>
  <c r="CI18" i="5"/>
  <c r="CA18" i="5"/>
  <c r="Y10" i="42"/>
  <c r="C29" i="44"/>
  <c r="AH13" i="45" s="1"/>
  <c r="AE14" i="45"/>
  <c r="AM14" i="45"/>
  <c r="AD14" i="45"/>
  <c r="AH14" i="45"/>
  <c r="AL14" i="45"/>
  <c r="AK14" i="45"/>
  <c r="D30" i="44"/>
  <c r="AF14" i="45"/>
  <c r="AJ14" i="45"/>
  <c r="AN14" i="45"/>
  <c r="AI14" i="45"/>
  <c r="AG14" i="45"/>
  <c r="AC14" i="45"/>
  <c r="AB14" i="45"/>
  <c r="D32" i="45" s="1"/>
  <c r="H126" i="18"/>
  <c r="I126" i="18"/>
  <c r="J126" i="18"/>
  <c r="K126" i="18"/>
  <c r="L126" i="18"/>
  <c r="M126" i="18"/>
  <c r="N126" i="18"/>
  <c r="O126" i="18"/>
  <c r="G126" i="18"/>
  <c r="H127" i="18" s="1"/>
  <c r="G90" i="18"/>
  <c r="H90" i="18"/>
  <c r="I90" i="18"/>
  <c r="J90" i="18"/>
  <c r="K90" i="18"/>
  <c r="L90" i="18"/>
  <c r="M90" i="18"/>
  <c r="N90" i="18"/>
  <c r="O90" i="18"/>
  <c r="F90" i="18"/>
  <c r="G85" i="18"/>
  <c r="H85" i="18"/>
  <c r="I85" i="18"/>
  <c r="J85" i="18"/>
  <c r="K85" i="18"/>
  <c r="L85" i="18"/>
  <c r="M85" i="18"/>
  <c r="N85" i="18"/>
  <c r="O85" i="18"/>
  <c r="P85" i="18"/>
  <c r="F85" i="18"/>
  <c r="B112" i="18"/>
  <c r="B113" i="18"/>
  <c r="B114" i="18"/>
  <c r="B115" i="18"/>
  <c r="B116" i="18"/>
  <c r="B117" i="18"/>
  <c r="B118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92" i="18"/>
  <c r="E37" i="18"/>
  <c r="AJ37" i="18" s="1"/>
  <c r="AG21" i="5" s="1"/>
  <c r="F40" i="18"/>
  <c r="BB40" i="18"/>
  <c r="BC40" i="18"/>
  <c r="BD40" i="18"/>
  <c r="BE40" i="18"/>
  <c r="BF40" i="18"/>
  <c r="BG40" i="18"/>
  <c r="BH40" i="18"/>
  <c r="BI40" i="18"/>
  <c r="BJ40" i="18"/>
  <c r="BK40" i="18"/>
  <c r="BL40" i="18"/>
  <c r="BM40" i="18"/>
  <c r="BN40" i="18"/>
  <c r="BO40" i="18"/>
  <c r="BP40" i="18"/>
  <c r="BQ40" i="18"/>
  <c r="BR40" i="18"/>
  <c r="BS40" i="18"/>
  <c r="BT40" i="18"/>
  <c r="BU40" i="18"/>
  <c r="BV40" i="18"/>
  <c r="BW40" i="18"/>
  <c r="BX40" i="18"/>
  <c r="BY40" i="18"/>
  <c r="BA40" i="18"/>
  <c r="U15" i="18"/>
  <c r="F14" i="18"/>
  <c r="G6" i="18"/>
  <c r="H6" i="18"/>
  <c r="I6" i="18"/>
  <c r="J6" i="18"/>
  <c r="K6" i="18"/>
  <c r="L6" i="18"/>
  <c r="M6" i="18"/>
  <c r="N6" i="18"/>
  <c r="P6" i="18"/>
  <c r="Q6" i="18"/>
  <c r="U6" i="18"/>
  <c r="V6" i="18"/>
  <c r="W6" i="18"/>
  <c r="X6" i="18"/>
  <c r="Y6" i="18"/>
  <c r="Z6" i="18"/>
  <c r="AA6" i="18"/>
  <c r="AB6" i="18"/>
  <c r="AC6" i="18"/>
  <c r="AD6" i="18"/>
  <c r="AE6" i="18"/>
  <c r="AG6" i="18"/>
  <c r="AH6" i="18"/>
  <c r="AI6" i="18"/>
  <c r="AJ6" i="18"/>
  <c r="AK6" i="18"/>
  <c r="AL6" i="18"/>
  <c r="AM6" i="18"/>
  <c r="AN6" i="18"/>
  <c r="AO6" i="18"/>
  <c r="AP6" i="18"/>
  <c r="AQ6" i="18"/>
  <c r="AR6" i="18"/>
  <c r="AS6" i="18"/>
  <c r="AT6" i="18"/>
  <c r="AU6" i="18"/>
  <c r="AV6" i="18"/>
  <c r="AW6" i="18"/>
  <c r="AX6" i="18"/>
  <c r="AY6" i="18"/>
  <c r="AZ6" i="18"/>
  <c r="BA6" i="18"/>
  <c r="BB6" i="18"/>
  <c r="BC6" i="18"/>
  <c r="BD6" i="18"/>
  <c r="BE6" i="18"/>
  <c r="BF6" i="18"/>
  <c r="BG6" i="18"/>
  <c r="BH6" i="18"/>
  <c r="BI6" i="18"/>
  <c r="BJ6" i="18"/>
  <c r="BK6" i="18"/>
  <c r="BL6" i="18"/>
  <c r="BM6" i="18"/>
  <c r="BN6" i="18"/>
  <c r="BO6" i="18"/>
  <c r="BP6" i="18"/>
  <c r="BQ6" i="18"/>
  <c r="BR6" i="18"/>
  <c r="BS6" i="18"/>
  <c r="BT6" i="18"/>
  <c r="BU6" i="18"/>
  <c r="BV6" i="18"/>
  <c r="BW6" i="18"/>
  <c r="BX6" i="18"/>
  <c r="BY6" i="18"/>
  <c r="F6" i="18"/>
  <c r="T13" i="18"/>
  <c r="R12" i="18"/>
  <c r="E38" i="18"/>
  <c r="AW38" i="18" s="1"/>
  <c r="AT22" i="5" s="1"/>
  <c r="E39" i="18"/>
  <c r="BJ39" i="18" s="1"/>
  <c r="BG23" i="5" s="1"/>
  <c r="U16" i="18"/>
  <c r="V17" i="18"/>
  <c r="V14" i="18" s="1"/>
  <c r="S20" i="5" s="1"/>
  <c r="W18" i="18"/>
  <c r="W14" i="18" s="1"/>
  <c r="T20" i="5" s="1"/>
  <c r="X19" i="18"/>
  <c r="Y20" i="18"/>
  <c r="Z21" i="18"/>
  <c r="AA22" i="18"/>
  <c r="AB23" i="18"/>
  <c r="AC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C78" i="1"/>
  <c r="K127" i="18" l="1"/>
  <c r="T6" i="18"/>
  <c r="U14" i="18"/>
  <c r="R20" i="5" s="1"/>
  <c r="AE13" i="45"/>
  <c r="AB10" i="42"/>
  <c r="C19" i="42"/>
  <c r="AK13" i="45"/>
  <c r="AL13" i="45"/>
  <c r="AG13" i="45"/>
  <c r="AN13" i="45"/>
  <c r="AD13" i="45"/>
  <c r="D29" i="44"/>
  <c r="AW13" i="45" s="1"/>
  <c r="AF13" i="45"/>
  <c r="AM13" i="45"/>
  <c r="AJ13" i="45"/>
  <c r="AC13" i="45"/>
  <c r="AI13" i="45"/>
  <c r="E32" i="45"/>
  <c r="E30" i="44"/>
  <c r="AU14" i="45"/>
  <c r="AP14" i="45"/>
  <c r="AT14" i="45"/>
  <c r="AX14" i="45"/>
  <c r="AS14" i="45"/>
  <c r="AW14" i="45"/>
  <c r="AR14" i="45"/>
  <c r="AV14" i="45"/>
  <c r="AZ14" i="45"/>
  <c r="AQ14" i="45"/>
  <c r="AY14" i="45"/>
  <c r="AO14" i="45"/>
  <c r="C20" i="5"/>
  <c r="T14" i="18"/>
  <c r="Q20" i="5" s="1"/>
  <c r="BH39" i="18"/>
  <c r="BE23" i="5" s="1"/>
  <c r="BG39" i="18"/>
  <c r="BD23" i="5" s="1"/>
  <c r="BK39" i="18"/>
  <c r="BH23" i="5" s="1"/>
  <c r="AX38" i="18"/>
  <c r="AU22" i="5" s="1"/>
  <c r="AM37" i="18"/>
  <c r="AJ21" i="5" s="1"/>
  <c r="AU38" i="18"/>
  <c r="AR22" i="5" s="1"/>
  <c r="AV38" i="18"/>
  <c r="AS22" i="5" s="1"/>
  <c r="BI39" i="18"/>
  <c r="BF23" i="5" s="1"/>
  <c r="AK37" i="18"/>
  <c r="AH21" i="5" s="1"/>
  <c r="AL37" i="18"/>
  <c r="AI21" i="5" s="1"/>
  <c r="AY38" i="18"/>
  <c r="AV22" i="5" s="1"/>
  <c r="AI37" i="18"/>
  <c r="AF21" i="5" s="1"/>
  <c r="E75" i="5" l="1"/>
  <c r="N75" i="5" s="1"/>
  <c r="G77" i="5"/>
  <c r="N77" i="5" s="1"/>
  <c r="AU13" i="45"/>
  <c r="AQ13" i="45"/>
  <c r="AT13" i="45"/>
  <c r="F76" i="5"/>
  <c r="N76" i="5" s="1"/>
  <c r="AE10" i="42"/>
  <c r="AP13" i="45"/>
  <c r="AO13" i="45"/>
  <c r="AX13" i="45"/>
  <c r="AR13" i="45"/>
  <c r="AY13" i="45"/>
  <c r="AV13" i="45"/>
  <c r="AS13" i="45"/>
  <c r="E29" i="44"/>
  <c r="BI13" i="45" s="1"/>
  <c r="AZ13" i="45"/>
  <c r="E31" i="45"/>
  <c r="F30" i="44"/>
  <c r="BC14" i="45"/>
  <c r="BK14" i="45"/>
  <c r="BB14" i="45"/>
  <c r="BF14" i="45"/>
  <c r="BJ14" i="45"/>
  <c r="BE14" i="45"/>
  <c r="BI14" i="45"/>
  <c r="BA14" i="45"/>
  <c r="BD14" i="45"/>
  <c r="BH14" i="45"/>
  <c r="BL14" i="45"/>
  <c r="BG14" i="45"/>
  <c r="F32" i="45"/>
  <c r="BJ13" i="45" l="1"/>
  <c r="BC13" i="45"/>
  <c r="BA13" i="45"/>
  <c r="F29" i="44"/>
  <c r="BN13" i="45" s="1"/>
  <c r="AH10" i="42"/>
  <c r="F31" i="45"/>
  <c r="BK13" i="45"/>
  <c r="BH13" i="45"/>
  <c r="BE13" i="45"/>
  <c r="BG13" i="45"/>
  <c r="BD13" i="45"/>
  <c r="BB13" i="45"/>
  <c r="BF13" i="45"/>
  <c r="BL13" i="45"/>
  <c r="G29" i="44"/>
  <c r="BU13" i="45"/>
  <c r="G30" i="44"/>
  <c r="BS14" i="45"/>
  <c r="BN14" i="45"/>
  <c r="BR14" i="45"/>
  <c r="BV14" i="45"/>
  <c r="BQ14" i="45"/>
  <c r="BU14" i="45"/>
  <c r="BM14" i="45"/>
  <c r="BP14" i="45"/>
  <c r="BT14" i="45"/>
  <c r="BX14" i="45"/>
  <c r="BO14" i="45"/>
  <c r="BW14" i="45"/>
  <c r="G32" i="45"/>
  <c r="E13" i="46"/>
  <c r="E21" i="46"/>
  <c r="D7" i="18"/>
  <c r="B7" i="18"/>
  <c r="B21" i="42"/>
  <c r="B2" i="42"/>
  <c r="B3" i="42"/>
  <c r="C3" i="42"/>
  <c r="D3" i="42"/>
  <c r="E3" i="42"/>
  <c r="F3" i="42"/>
  <c r="G3" i="42"/>
  <c r="H3" i="42"/>
  <c r="I3" i="42"/>
  <c r="J3" i="42"/>
  <c r="K3" i="42"/>
  <c r="L3" i="42"/>
  <c r="M3" i="42"/>
  <c r="H14" i="18"/>
  <c r="I14" i="18"/>
  <c r="J14" i="18"/>
  <c r="K14" i="18"/>
  <c r="L14" i="18"/>
  <c r="M14" i="18"/>
  <c r="N14" i="18"/>
  <c r="O14" i="18"/>
  <c r="P14" i="18"/>
  <c r="Q14" i="18"/>
  <c r="N20" i="5" s="1"/>
  <c r="R14" i="18"/>
  <c r="O20" i="5" s="1"/>
  <c r="X14" i="18"/>
  <c r="U20" i="5" s="1"/>
  <c r="Y14" i="18"/>
  <c r="V20" i="5" s="1"/>
  <c r="AA14" i="18"/>
  <c r="AB14" i="18"/>
  <c r="Y20" i="5" s="1"/>
  <c r="AC14" i="18"/>
  <c r="Z20" i="5" s="1"/>
  <c r="AD14" i="18"/>
  <c r="AE14" i="18"/>
  <c r="AF14" i="18"/>
  <c r="AG14" i="18"/>
  <c r="AH14" i="18"/>
  <c r="AI14" i="18"/>
  <c r="AJ14" i="18"/>
  <c r="AK14" i="18"/>
  <c r="AL14" i="18"/>
  <c r="AI20" i="5" s="1"/>
  <c r="AM14" i="18"/>
  <c r="AJ20" i="5" s="1"/>
  <c r="AN14" i="18"/>
  <c r="AK20" i="5" s="1"/>
  <c r="AO14" i="18"/>
  <c r="AL20" i="5" s="1"/>
  <c r="AP14" i="18"/>
  <c r="AM20" i="5" s="1"/>
  <c r="AQ14" i="18"/>
  <c r="AN20" i="5" s="1"/>
  <c r="AR14" i="18"/>
  <c r="AO20" i="5" s="1"/>
  <c r="AS14" i="18"/>
  <c r="AP20" i="5" s="1"/>
  <c r="AT14" i="18"/>
  <c r="AQ20" i="5" s="1"/>
  <c r="AU14" i="18"/>
  <c r="AR20" i="5" s="1"/>
  <c r="AV14" i="18"/>
  <c r="AS20" i="5" s="1"/>
  <c r="AW14" i="18"/>
  <c r="AT20" i="5" s="1"/>
  <c r="AX14" i="18"/>
  <c r="AU20" i="5" s="1"/>
  <c r="AY14" i="18"/>
  <c r="AV20" i="5" s="1"/>
  <c r="AZ14" i="18"/>
  <c r="AW20" i="5" s="1"/>
  <c r="BA14" i="18"/>
  <c r="AX20" i="5" s="1"/>
  <c r="BB14" i="18"/>
  <c r="AY20" i="5" s="1"/>
  <c r="BC14" i="18"/>
  <c r="AZ20" i="5" s="1"/>
  <c r="BD14" i="18"/>
  <c r="BA20" i="5" s="1"/>
  <c r="BE14" i="18"/>
  <c r="BB20" i="5" s="1"/>
  <c r="BF14" i="18"/>
  <c r="BC20" i="5" s="1"/>
  <c r="BG14" i="18"/>
  <c r="BD20" i="5" s="1"/>
  <c r="BH14" i="18"/>
  <c r="BE20" i="5" s="1"/>
  <c r="BI14" i="18"/>
  <c r="BF20" i="5" s="1"/>
  <c r="BJ14" i="18"/>
  <c r="BG20" i="5" s="1"/>
  <c r="BK14" i="18"/>
  <c r="BH20" i="5" s="1"/>
  <c r="BL14" i="18"/>
  <c r="BI20" i="5" s="1"/>
  <c r="BM14" i="18"/>
  <c r="BJ20" i="5" s="1"/>
  <c r="BN14" i="18"/>
  <c r="BK20" i="5" s="1"/>
  <c r="BO14" i="18"/>
  <c r="BL20" i="5" s="1"/>
  <c r="BP14" i="18"/>
  <c r="BM20" i="5" s="1"/>
  <c r="BQ14" i="18"/>
  <c r="BN20" i="5" s="1"/>
  <c r="BR14" i="18"/>
  <c r="BO20" i="5" s="1"/>
  <c r="BS14" i="18"/>
  <c r="BP20" i="5" s="1"/>
  <c r="BT14" i="18"/>
  <c r="BQ20" i="5" s="1"/>
  <c r="BU14" i="18"/>
  <c r="BR20" i="5" s="1"/>
  <c r="BV14" i="18"/>
  <c r="BS20" i="5" s="1"/>
  <c r="BW14" i="18"/>
  <c r="BT20" i="5" s="1"/>
  <c r="BX14" i="18"/>
  <c r="BU20" i="5" s="1"/>
  <c r="BY14" i="18"/>
  <c r="BV20" i="5" s="1"/>
  <c r="E9" i="22"/>
  <c r="F9" i="22"/>
  <c r="D9" i="5" s="1"/>
  <c r="G9" i="22"/>
  <c r="E9" i="5" s="1"/>
  <c r="H9" i="22"/>
  <c r="F9" i="5" s="1"/>
  <c r="I9" i="22"/>
  <c r="G9" i="5" s="1"/>
  <c r="J9" i="22"/>
  <c r="H9" i="5" s="1"/>
  <c r="K9" i="22"/>
  <c r="I9" i="5" s="1"/>
  <c r="L9" i="22"/>
  <c r="J9" i="5" s="1"/>
  <c r="M9" i="22"/>
  <c r="K9" i="5" s="1"/>
  <c r="N9" i="22"/>
  <c r="L9" i="5" s="1"/>
  <c r="O9" i="22"/>
  <c r="M9" i="5" s="1"/>
  <c r="P9" i="22"/>
  <c r="N9" i="5" s="1"/>
  <c r="C15" i="22"/>
  <c r="C16" i="22"/>
  <c r="C17" i="22"/>
  <c r="C18" i="22"/>
  <c r="C19" i="22"/>
  <c r="C14" i="22"/>
  <c r="E1" i="22"/>
  <c r="E2" i="22"/>
  <c r="F2" i="22"/>
  <c r="G2" i="22"/>
  <c r="H2" i="22"/>
  <c r="I2" i="22"/>
  <c r="J2" i="22"/>
  <c r="K2" i="22"/>
  <c r="L2" i="22"/>
  <c r="M2" i="22"/>
  <c r="N2" i="22"/>
  <c r="O2" i="22"/>
  <c r="P2" i="22"/>
  <c r="C10" i="5"/>
  <c r="D10" i="5"/>
  <c r="G16" i="45"/>
  <c r="H16" i="45"/>
  <c r="F10" i="5" s="1"/>
  <c r="I16" i="45"/>
  <c r="G10" i="5" s="1"/>
  <c r="J16" i="45"/>
  <c r="H10" i="5" s="1"/>
  <c r="K16" i="45"/>
  <c r="I10" i="5" s="1"/>
  <c r="L16" i="45"/>
  <c r="J10" i="5" s="1"/>
  <c r="M16" i="45"/>
  <c r="K10" i="5" s="1"/>
  <c r="N16" i="45"/>
  <c r="L10" i="5" s="1"/>
  <c r="O16" i="45"/>
  <c r="M10" i="5" s="1"/>
  <c r="P16" i="45"/>
  <c r="N10" i="5" s="1"/>
  <c r="C22" i="45"/>
  <c r="C23" i="45"/>
  <c r="C24" i="45"/>
  <c r="C25" i="45"/>
  <c r="C26" i="45"/>
  <c r="C27" i="45"/>
  <c r="C28" i="45"/>
  <c r="C29" i="45"/>
  <c r="C30" i="45"/>
  <c r="C31" i="45"/>
  <c r="C33" i="45"/>
  <c r="E1" i="45"/>
  <c r="E2" i="45"/>
  <c r="F2" i="45"/>
  <c r="G2" i="45"/>
  <c r="H2" i="45"/>
  <c r="I2" i="45"/>
  <c r="J2" i="45"/>
  <c r="K2" i="45"/>
  <c r="L2" i="45"/>
  <c r="M2" i="45"/>
  <c r="N2" i="45"/>
  <c r="O2" i="45"/>
  <c r="P2" i="45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B32" i="28"/>
  <c r="C7" i="5" s="1"/>
  <c r="C32" i="28"/>
  <c r="D7" i="5" s="1"/>
  <c r="D32" i="28"/>
  <c r="E32" i="28"/>
  <c r="F7" i="5" s="1"/>
  <c r="F32" i="28"/>
  <c r="G7" i="5" s="1"/>
  <c r="G32" i="28"/>
  <c r="H7" i="5" s="1"/>
  <c r="H32" i="28"/>
  <c r="I7" i="5" s="1"/>
  <c r="I32" i="28"/>
  <c r="J7" i="5" s="1"/>
  <c r="J32" i="28"/>
  <c r="K7" i="5" s="1"/>
  <c r="K32" i="28"/>
  <c r="L7" i="5" s="1"/>
  <c r="L32" i="28"/>
  <c r="M7" i="5" s="1"/>
  <c r="M32" i="28"/>
  <c r="N7" i="5" s="1"/>
  <c r="N32" i="28"/>
  <c r="O7" i="5" s="1"/>
  <c r="O32" i="28"/>
  <c r="P7" i="5" s="1"/>
  <c r="P32" i="28"/>
  <c r="Q7" i="5" s="1"/>
  <c r="Q32" i="28"/>
  <c r="R7" i="5" s="1"/>
  <c r="R32" i="28"/>
  <c r="S7" i="5" s="1"/>
  <c r="S32" i="28"/>
  <c r="T7" i="5" s="1"/>
  <c r="T32" i="28"/>
  <c r="U7" i="5" s="1"/>
  <c r="U32" i="28"/>
  <c r="V7" i="5" s="1"/>
  <c r="V32" i="28"/>
  <c r="W7" i="5" s="1"/>
  <c r="W32" i="28"/>
  <c r="X7" i="5" s="1"/>
  <c r="X32" i="28"/>
  <c r="Y7" i="5" s="1"/>
  <c r="B37" i="28"/>
  <c r="B38" i="28"/>
  <c r="B39" i="28"/>
  <c r="B40" i="28"/>
  <c r="B41" i="28"/>
  <c r="B36" i="28"/>
  <c r="B16" i="28"/>
  <c r="B17" i="28"/>
  <c r="B18" i="28"/>
  <c r="B19" i="28"/>
  <c r="B20" i="28"/>
  <c r="B15" i="28"/>
  <c r="B3" i="28"/>
  <c r="B25" i="28" s="1"/>
  <c r="C3" i="28"/>
  <c r="C25" i="28" s="1"/>
  <c r="D3" i="28"/>
  <c r="D25" i="28" s="1"/>
  <c r="E3" i="28"/>
  <c r="E25" i="28" s="1"/>
  <c r="F3" i="28"/>
  <c r="F25" i="28" s="1"/>
  <c r="G3" i="28"/>
  <c r="G25" i="28" s="1"/>
  <c r="H3" i="28"/>
  <c r="H25" i="28" s="1"/>
  <c r="I3" i="28"/>
  <c r="I25" i="28" s="1"/>
  <c r="J3" i="28"/>
  <c r="J25" i="28" s="1"/>
  <c r="K3" i="28"/>
  <c r="K25" i="28" s="1"/>
  <c r="L3" i="28"/>
  <c r="L25" i="28" s="1"/>
  <c r="M3" i="28"/>
  <c r="M25" i="28" s="1"/>
  <c r="B2" i="28"/>
  <c r="B81" i="5"/>
  <c r="B82" i="5"/>
  <c r="B83" i="5"/>
  <c r="B80" i="5"/>
  <c r="B68" i="5"/>
  <c r="B69" i="5"/>
  <c r="B70" i="5"/>
  <c r="B67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5" i="5"/>
  <c r="DN5" i="5"/>
  <c r="DO5" i="5"/>
  <c r="DP5" i="5"/>
  <c r="DQ5" i="5"/>
  <c r="DR5" i="5"/>
  <c r="DS5" i="5"/>
  <c r="DS4" i="5" s="1"/>
  <c r="DT5" i="5"/>
  <c r="DT4" i="5" s="1"/>
  <c r="DU5" i="5"/>
  <c r="DU4" i="5" s="1"/>
  <c r="DV5" i="5"/>
  <c r="DV4" i="5" s="1"/>
  <c r="DW5" i="5"/>
  <c r="DW4" i="5" s="1"/>
  <c r="DX5" i="5"/>
  <c r="DX4" i="5" s="1"/>
  <c r="DY5" i="5"/>
  <c r="DY4" i="5" s="1"/>
  <c r="DZ5" i="5"/>
  <c r="DZ4" i="5" s="1"/>
  <c r="EA5" i="5"/>
  <c r="EA4" i="5" s="1"/>
  <c r="EB5" i="5"/>
  <c r="EB4" i="5" s="1"/>
  <c r="EC5" i="5"/>
  <c r="EC4" i="5" s="1"/>
  <c r="ED5" i="5"/>
  <c r="ED4" i="5" s="1"/>
  <c r="M67" i="5"/>
  <c r="L12" i="16" s="1"/>
  <c r="M80" i="5"/>
  <c r="B27" i="44"/>
  <c r="AB11" i="45" s="1"/>
  <c r="B28" i="44"/>
  <c r="B26" i="44"/>
  <c r="A27" i="44"/>
  <c r="A28" i="44"/>
  <c r="A26" i="44"/>
  <c r="B32" i="44"/>
  <c r="A32" i="44"/>
  <c r="B9" i="45"/>
  <c r="D70" i="18"/>
  <c r="E70" i="18" s="1"/>
  <c r="D71" i="18"/>
  <c r="E71" i="18" s="1"/>
  <c r="D72" i="18"/>
  <c r="E72" i="18" s="1"/>
  <c r="D69" i="18"/>
  <c r="E69" i="18" s="1"/>
  <c r="B70" i="18"/>
  <c r="B120" i="18" s="1"/>
  <c r="B71" i="18"/>
  <c r="B121" i="18" s="1"/>
  <c r="B72" i="18"/>
  <c r="B122" i="18" s="1"/>
  <c r="B69" i="18"/>
  <c r="BK10" i="28"/>
  <c r="BL10" i="28"/>
  <c r="BM10" i="28"/>
  <c r="BN10" i="28"/>
  <c r="BO10" i="28"/>
  <c r="BP10" i="28"/>
  <c r="BQ10" i="28"/>
  <c r="BR10" i="28"/>
  <c r="BS10" i="28"/>
  <c r="BT10" i="28"/>
  <c r="BU10" i="28"/>
  <c r="BV10" i="28"/>
  <c r="BW10" i="28"/>
  <c r="BX10" i="28"/>
  <c r="BY10" i="28"/>
  <c r="BZ10" i="28"/>
  <c r="CA10" i="28"/>
  <c r="CB10" i="28"/>
  <c r="CC10" i="28"/>
  <c r="CD10" i="28"/>
  <c r="CE10" i="28"/>
  <c r="CF10" i="28"/>
  <c r="CG10" i="28"/>
  <c r="CH10" i="28"/>
  <c r="CI10" i="28"/>
  <c r="CJ10" i="28"/>
  <c r="CK10" i="28"/>
  <c r="CL10" i="28"/>
  <c r="CM10" i="28"/>
  <c r="CN10" i="28"/>
  <c r="CO10" i="28"/>
  <c r="CP10" i="28"/>
  <c r="CQ10" i="28"/>
  <c r="CR10" i="28"/>
  <c r="CS10" i="28"/>
  <c r="CT10" i="28"/>
  <c r="CU10" i="28"/>
  <c r="CV10" i="28"/>
  <c r="CW10" i="28"/>
  <c r="CX10" i="28"/>
  <c r="CY10" i="28"/>
  <c r="CZ10" i="28"/>
  <c r="DA10" i="28"/>
  <c r="DB10" i="28"/>
  <c r="DC10" i="28"/>
  <c r="DD10" i="28"/>
  <c r="DE10" i="28"/>
  <c r="DF10" i="28"/>
  <c r="DG10" i="28"/>
  <c r="DH10" i="28"/>
  <c r="DI10" i="28"/>
  <c r="DJ10" i="28"/>
  <c r="DK10" i="28"/>
  <c r="DL10" i="28"/>
  <c r="DM10" i="28"/>
  <c r="DN10" i="28"/>
  <c r="DO10" i="28"/>
  <c r="DP10" i="28"/>
  <c r="DQ10" i="28"/>
  <c r="DR10" i="28"/>
  <c r="DS10" i="28"/>
  <c r="DT10" i="28"/>
  <c r="DU10" i="28"/>
  <c r="DV10" i="28"/>
  <c r="DW10" i="28"/>
  <c r="DX10" i="28"/>
  <c r="DY10" i="28"/>
  <c r="DZ10" i="28"/>
  <c r="EA10" i="28"/>
  <c r="EB10" i="28"/>
  <c r="EC10" i="28"/>
  <c r="BJ10" i="28"/>
  <c r="AY10" i="28"/>
  <c r="AZ10" i="28"/>
  <c r="BA10" i="28"/>
  <c r="BB10" i="28"/>
  <c r="BC10" i="28"/>
  <c r="BD10" i="28"/>
  <c r="BE10" i="28"/>
  <c r="BF10" i="28"/>
  <c r="BG10" i="28"/>
  <c r="BH10" i="28"/>
  <c r="BI10" i="28"/>
  <c r="AX10" i="28"/>
  <c r="E10" i="44"/>
  <c r="B15" i="22"/>
  <c r="B16" i="22"/>
  <c r="B17" i="22"/>
  <c r="B18" i="22"/>
  <c r="B14" i="22"/>
  <c r="B14" i="44"/>
  <c r="C14" i="44" s="1"/>
  <c r="D14" i="44" s="1"/>
  <c r="E14" i="44" s="1"/>
  <c r="F14" i="44" s="1"/>
  <c r="G14" i="44" s="1"/>
  <c r="H14" i="44" s="1"/>
  <c r="I14" i="44" s="1"/>
  <c r="J14" i="44" s="1"/>
  <c r="K14" i="44" s="1"/>
  <c r="B15" i="44"/>
  <c r="C15" i="44" s="1"/>
  <c r="D15" i="44" s="1"/>
  <c r="E15" i="44" s="1"/>
  <c r="F15" i="44" s="1"/>
  <c r="G15" i="44" s="1"/>
  <c r="H15" i="44" s="1"/>
  <c r="I15" i="44" s="1"/>
  <c r="J15" i="44" s="1"/>
  <c r="K15" i="44" s="1"/>
  <c r="B16" i="44"/>
  <c r="C16" i="44" s="1"/>
  <c r="D16" i="44" s="1"/>
  <c r="E16" i="44" s="1"/>
  <c r="F16" i="44" s="1"/>
  <c r="G16" i="44" s="1"/>
  <c r="H16" i="44" s="1"/>
  <c r="I16" i="44" s="1"/>
  <c r="J16" i="44" s="1"/>
  <c r="K16" i="44" s="1"/>
  <c r="B17" i="44"/>
  <c r="C17" i="44" s="1"/>
  <c r="D17" i="44" s="1"/>
  <c r="E17" i="44" s="1"/>
  <c r="F17" i="44" s="1"/>
  <c r="G17" i="44" s="1"/>
  <c r="H17" i="44" s="1"/>
  <c r="I17" i="44" s="1"/>
  <c r="J17" i="44" s="1"/>
  <c r="K17" i="44" s="1"/>
  <c r="B13" i="44"/>
  <c r="C13" i="44" s="1"/>
  <c r="D13" i="44" s="1"/>
  <c r="E13" i="44" s="1"/>
  <c r="F13" i="44" s="1"/>
  <c r="G13" i="44" s="1"/>
  <c r="H13" i="44" s="1"/>
  <c r="I13" i="44" s="1"/>
  <c r="J13" i="44" s="1"/>
  <c r="K13" i="44" s="1"/>
  <c r="A14" i="44"/>
  <c r="A15" i="44"/>
  <c r="A16" i="44"/>
  <c r="A17" i="44"/>
  <c r="A13" i="44"/>
  <c r="AM31" i="28"/>
  <c r="AN31" i="28"/>
  <c r="AO31" i="28"/>
  <c r="AP31" i="28"/>
  <c r="AQ31" i="28"/>
  <c r="AR31" i="28"/>
  <c r="AS31" i="28"/>
  <c r="AT31" i="28"/>
  <c r="AU31" i="28"/>
  <c r="AV31" i="28"/>
  <c r="AW31" i="28"/>
  <c r="AL31" i="28"/>
  <c r="AA31" i="28"/>
  <c r="AB31" i="28"/>
  <c r="AC31" i="28"/>
  <c r="AD31" i="28"/>
  <c r="AE31" i="28"/>
  <c r="AF31" i="28"/>
  <c r="AG31" i="28"/>
  <c r="AH31" i="28"/>
  <c r="AI31" i="28"/>
  <c r="AJ31" i="28"/>
  <c r="AK31" i="28"/>
  <c r="Z31" i="28"/>
  <c r="Y31" i="28"/>
  <c r="C41" i="28" s="1"/>
  <c r="E20" i="28"/>
  <c r="D20" i="28"/>
  <c r="C20" i="28"/>
  <c r="N2" i="28"/>
  <c r="Z2" i="28"/>
  <c r="AL2" i="28"/>
  <c r="AX2" i="28"/>
  <c r="BJ2" i="28"/>
  <c r="BV2" i="28"/>
  <c r="CH2" i="28"/>
  <c r="CT2" i="28"/>
  <c r="DF2" i="28"/>
  <c r="DR2" i="28"/>
  <c r="A20" i="28"/>
  <c r="A31" i="28" s="1"/>
  <c r="A41" i="28" s="1"/>
  <c r="A6" i="28"/>
  <c r="A16" i="28" s="1"/>
  <c r="A27" i="28" s="1"/>
  <c r="A37" i="28" s="1"/>
  <c r="A7" i="28"/>
  <c r="A17" i="28" s="1"/>
  <c r="A28" i="28" s="1"/>
  <c r="A38" i="28" s="1"/>
  <c r="A8" i="28"/>
  <c r="A18" i="28" s="1"/>
  <c r="A29" i="28" s="1"/>
  <c r="A39" i="28" s="1"/>
  <c r="A9" i="28"/>
  <c r="A19" i="28" s="1"/>
  <c r="A30" i="28" s="1"/>
  <c r="A40" i="28" s="1"/>
  <c r="N76" i="1"/>
  <c r="AK6" i="28" s="1"/>
  <c r="N77" i="1"/>
  <c r="N78" i="1"/>
  <c r="AW8" i="28" s="1"/>
  <c r="N79" i="1"/>
  <c r="AK9" i="28" s="1"/>
  <c r="N75" i="1"/>
  <c r="AK5" i="28" s="1"/>
  <c r="M76" i="1"/>
  <c r="M77" i="1"/>
  <c r="EB7" i="28" s="1"/>
  <c r="M78" i="1"/>
  <c r="EB8" i="28" s="1"/>
  <c r="M79" i="1"/>
  <c r="EB9" i="28" s="1"/>
  <c r="M75" i="1"/>
  <c r="L76" i="1"/>
  <c r="AU6" i="28" s="1"/>
  <c r="L77" i="1"/>
  <c r="EA7" i="28" s="1"/>
  <c r="L78" i="1"/>
  <c r="BG8" i="28" s="1"/>
  <c r="L79" i="1"/>
  <c r="AU9" i="28" s="1"/>
  <c r="L75" i="1"/>
  <c r="AU5" i="28" s="1"/>
  <c r="K76" i="1"/>
  <c r="DZ6" i="28" s="1"/>
  <c r="K77" i="1"/>
  <c r="AT7" i="28" s="1"/>
  <c r="K78" i="1"/>
  <c r="K79" i="1"/>
  <c r="DZ9" i="28" s="1"/>
  <c r="K75" i="1"/>
  <c r="DZ5" i="28" s="1"/>
  <c r="J76" i="1"/>
  <c r="AG6" i="28" s="1"/>
  <c r="J77" i="1"/>
  <c r="DM7" i="28" s="1"/>
  <c r="J78" i="1"/>
  <c r="AS8" i="28" s="1"/>
  <c r="J79" i="1"/>
  <c r="AG9" i="28" s="1"/>
  <c r="J75" i="1"/>
  <c r="AG5" i="28" s="1"/>
  <c r="I76" i="1"/>
  <c r="I77" i="1"/>
  <c r="DX7" i="28" s="1"/>
  <c r="I78" i="1"/>
  <c r="DX8" i="28" s="1"/>
  <c r="I79" i="1"/>
  <c r="DX9" i="28" s="1"/>
  <c r="I75" i="1"/>
  <c r="H76" i="1"/>
  <c r="AQ6" i="28" s="1"/>
  <c r="H77" i="1"/>
  <c r="DW7" i="28" s="1"/>
  <c r="H78" i="1"/>
  <c r="BC8" i="28" s="1"/>
  <c r="H79" i="1"/>
  <c r="H75" i="1"/>
  <c r="AQ5" i="28" s="1"/>
  <c r="G76" i="1"/>
  <c r="DV6" i="28" s="1"/>
  <c r="G77" i="1"/>
  <c r="AP7" i="28" s="1"/>
  <c r="G78" i="1"/>
  <c r="G79" i="1"/>
  <c r="DV9" i="28" s="1"/>
  <c r="G75" i="1"/>
  <c r="DV5" i="28" s="1"/>
  <c r="F76" i="1"/>
  <c r="AC6" i="28" s="1"/>
  <c r="F77" i="1"/>
  <c r="F78" i="1"/>
  <c r="AO8" i="28" s="1"/>
  <c r="F79" i="1"/>
  <c r="AC9" i="28" s="1"/>
  <c r="F75" i="1"/>
  <c r="AC5" i="28" s="1"/>
  <c r="E76" i="1"/>
  <c r="E77" i="1"/>
  <c r="DT7" i="28" s="1"/>
  <c r="E78" i="1"/>
  <c r="DT8" i="28" s="1"/>
  <c r="E79" i="1"/>
  <c r="DT9" i="28" s="1"/>
  <c r="E75" i="1"/>
  <c r="D76" i="1"/>
  <c r="AM6" i="28" s="1"/>
  <c r="D77" i="1"/>
  <c r="DS7" i="28" s="1"/>
  <c r="D78" i="1"/>
  <c r="AA8" i="28" s="1"/>
  <c r="D79" i="1"/>
  <c r="D75" i="1"/>
  <c r="AM5" i="28" s="1"/>
  <c r="C75" i="1"/>
  <c r="DR5" i="28" s="1"/>
  <c r="C76" i="1"/>
  <c r="DR6" i="28" s="1"/>
  <c r="C77" i="1"/>
  <c r="AL8" i="28"/>
  <c r="C79" i="1"/>
  <c r="DR9" i="28" s="1"/>
  <c r="B21" i="28" l="1"/>
  <c r="B42" i="28"/>
  <c r="BR13" i="45"/>
  <c r="BX13" i="45"/>
  <c r="E7" i="5"/>
  <c r="BM13" i="45"/>
  <c r="BT13" i="45"/>
  <c r="AX7" i="22"/>
  <c r="C9" i="5"/>
  <c r="C20" i="22"/>
  <c r="G74" i="5"/>
  <c r="BP13" i="45"/>
  <c r="BW13" i="45"/>
  <c r="BQ13" i="45"/>
  <c r="E10" i="5"/>
  <c r="C34" i="45"/>
  <c r="H74" i="5"/>
  <c r="F74" i="5"/>
  <c r="BS13" i="45"/>
  <c r="BV13" i="45"/>
  <c r="BO13" i="45"/>
  <c r="AK10" i="42"/>
  <c r="G31" i="45"/>
  <c r="H29" i="44"/>
  <c r="CA13" i="45"/>
  <c r="BZ13" i="45"/>
  <c r="CD13" i="45"/>
  <c r="CH13" i="45"/>
  <c r="BY13" i="45"/>
  <c r="CC13" i="45"/>
  <c r="CG13" i="45"/>
  <c r="CB13" i="45"/>
  <c r="CF13" i="45"/>
  <c r="CJ13" i="45"/>
  <c r="CE13" i="45"/>
  <c r="CI13" i="45"/>
  <c r="H32" i="45"/>
  <c r="E7" i="18"/>
  <c r="O7" i="18" s="1"/>
  <c r="O6" i="18" s="1"/>
  <c r="H30" i="44"/>
  <c r="CD14" i="45"/>
  <c r="CC14" i="45"/>
  <c r="CG14" i="45"/>
  <c r="CB14" i="45"/>
  <c r="CF14" i="45"/>
  <c r="CJ14" i="45"/>
  <c r="BY14" i="45"/>
  <c r="CA14" i="45"/>
  <c r="CE14" i="45"/>
  <c r="CI14" i="45"/>
  <c r="BZ14" i="45"/>
  <c r="CH14" i="45"/>
  <c r="C28" i="44"/>
  <c r="AH20" i="5"/>
  <c r="AD20" i="5"/>
  <c r="L20" i="5"/>
  <c r="H20" i="5"/>
  <c r="AE20" i="5"/>
  <c r="AA20" i="5"/>
  <c r="M20" i="5"/>
  <c r="I20" i="5"/>
  <c r="E20" i="5"/>
  <c r="AF20" i="5"/>
  <c r="AB20" i="5"/>
  <c r="J20" i="5"/>
  <c r="F20" i="5"/>
  <c r="AG20" i="5"/>
  <c r="K20" i="5"/>
  <c r="G20" i="5"/>
  <c r="AR6" i="22"/>
  <c r="AZ6" i="22"/>
  <c r="DW6" i="22"/>
  <c r="EA6" i="22"/>
  <c r="EE6" i="22"/>
  <c r="AV6" i="22"/>
  <c r="AD6" i="22"/>
  <c r="BF6" i="22"/>
  <c r="BJ6" i="22"/>
  <c r="AA10" i="45"/>
  <c r="C26" i="44"/>
  <c r="AJ10" i="45" s="1"/>
  <c r="AL5" i="28"/>
  <c r="AO3" i="22" s="1"/>
  <c r="BG7" i="28"/>
  <c r="BJ5" i="22" s="1"/>
  <c r="BO7" i="28"/>
  <c r="BR5" i="22" s="1"/>
  <c r="CO5" i="28"/>
  <c r="CW6" i="28"/>
  <c r="CZ4" i="22" s="1"/>
  <c r="EC9" i="28"/>
  <c r="EF7" i="22" s="1"/>
  <c r="AT5" i="28"/>
  <c r="AW3" i="22" s="1"/>
  <c r="BI6" i="28"/>
  <c r="BL4" i="22" s="1"/>
  <c r="BM6" i="28"/>
  <c r="CG9" i="28"/>
  <c r="CJ7" i="22" s="1"/>
  <c r="DA5" i="28"/>
  <c r="DD3" i="22" s="1"/>
  <c r="DI9" i="28"/>
  <c r="AR8" i="28"/>
  <c r="AU6" i="22" s="1"/>
  <c r="BQ5" i="28"/>
  <c r="BT3" i="22" s="1"/>
  <c r="BY6" i="28"/>
  <c r="CB4" i="22" s="1"/>
  <c r="CS9" i="28"/>
  <c r="CV7" i="22" s="1"/>
  <c r="DM5" i="28"/>
  <c r="DP3" i="22" s="1"/>
  <c r="AT6" i="28"/>
  <c r="AW4" i="22" s="1"/>
  <c r="AY7" i="28"/>
  <c r="BB5" i="22" s="1"/>
  <c r="CC5" i="28"/>
  <c r="CK6" i="28"/>
  <c r="DE9" i="28"/>
  <c r="DH7" i="22" s="1"/>
  <c r="DT5" i="28"/>
  <c r="DW3" i="22" s="1"/>
  <c r="AN5" i="28"/>
  <c r="AQ3" i="22" s="1"/>
  <c r="AD8" i="28"/>
  <c r="AG6" i="22" s="1"/>
  <c r="AP8" i="28"/>
  <c r="AS6" i="22" s="1"/>
  <c r="DX5" i="28"/>
  <c r="EA3" i="22" s="1"/>
  <c r="AR5" i="28"/>
  <c r="AH8" i="28"/>
  <c r="AK6" i="22" s="1"/>
  <c r="AT8" i="28"/>
  <c r="AW6" i="22" s="1"/>
  <c r="AK7" i="28"/>
  <c r="DQ7" i="28"/>
  <c r="DT5" i="22" s="1"/>
  <c r="BI7" i="28"/>
  <c r="BL5" i="22" s="1"/>
  <c r="EC7" i="28"/>
  <c r="EF5" i="22" s="1"/>
  <c r="DE7" i="28"/>
  <c r="DH5" i="22" s="1"/>
  <c r="CS7" i="28"/>
  <c r="CV5" i="22" s="1"/>
  <c r="CG7" i="28"/>
  <c r="CJ5" i="22" s="1"/>
  <c r="BU7" i="28"/>
  <c r="BX5" i="22" s="1"/>
  <c r="DR7" i="28"/>
  <c r="Z7" i="28"/>
  <c r="AC5" i="22" s="1"/>
  <c r="AL7" i="28"/>
  <c r="AO5" i="22" s="1"/>
  <c r="AC7" i="28"/>
  <c r="AF5" i="22" s="1"/>
  <c r="DU7" i="28"/>
  <c r="DX5" i="22" s="1"/>
  <c r="CW7" i="28"/>
  <c r="CZ5" i="22" s="1"/>
  <c r="CK7" i="28"/>
  <c r="CN5" i="22" s="1"/>
  <c r="BY7" i="28"/>
  <c r="CB5" i="22" s="1"/>
  <c r="BA7" i="28"/>
  <c r="BD5" i="22" s="1"/>
  <c r="DI7" i="28"/>
  <c r="DL5" i="22" s="1"/>
  <c r="BM7" i="28"/>
  <c r="BP5" i="22" s="1"/>
  <c r="AG7" i="28"/>
  <c r="AJ5" i="22" s="1"/>
  <c r="DY7" i="28"/>
  <c r="EB5" i="22" s="1"/>
  <c r="DA7" i="28"/>
  <c r="DD5" i="22" s="1"/>
  <c r="CO7" i="28"/>
  <c r="CC7" i="28"/>
  <c r="CF5" i="22" s="1"/>
  <c r="AS7" i="28"/>
  <c r="AV5" i="22" s="1"/>
  <c r="BQ7" i="28"/>
  <c r="BT5" i="22" s="1"/>
  <c r="BE7" i="28"/>
  <c r="EB5" i="28"/>
  <c r="EE3" i="22" s="1"/>
  <c r="AV5" i="28"/>
  <c r="AY3" i="22" s="1"/>
  <c r="DT6" i="28"/>
  <c r="DW4" i="22" s="1"/>
  <c r="AN6" i="28"/>
  <c r="AE9" i="28"/>
  <c r="AH7" i="22" s="1"/>
  <c r="AQ9" i="28"/>
  <c r="AT7" i="22" s="1"/>
  <c r="DX6" i="28"/>
  <c r="EA4" i="22" s="1"/>
  <c r="AR6" i="28"/>
  <c r="AU4" i="22" s="1"/>
  <c r="AI9" i="28"/>
  <c r="AL7" i="22" s="1"/>
  <c r="BG9" i="28"/>
  <c r="BJ7" i="22" s="1"/>
  <c r="EB6" i="28"/>
  <c r="EE4" i="22" s="1"/>
  <c r="AV6" i="28"/>
  <c r="AY4" i="22" s="1"/>
  <c r="AO7" i="28"/>
  <c r="AA9" i="28"/>
  <c r="AD7" i="22" s="1"/>
  <c r="AY9" i="28"/>
  <c r="BB7" i="22" s="1"/>
  <c r="AW7" i="28"/>
  <c r="AZ5" i="22" s="1"/>
  <c r="AM9" i="28"/>
  <c r="AP7" i="22" s="1"/>
  <c r="BC9" i="28"/>
  <c r="BF7" i="22" s="1"/>
  <c r="BS9" i="28"/>
  <c r="BV7" i="22" s="1"/>
  <c r="AF4" i="22"/>
  <c r="AJ4" i="22"/>
  <c r="AN4" i="22"/>
  <c r="Z9" i="28"/>
  <c r="AC7" i="22" s="1"/>
  <c r="AU7" i="28"/>
  <c r="AX5" i="22" s="1"/>
  <c r="AM7" i="28"/>
  <c r="AP5" i="22" s="1"/>
  <c r="AS9" i="28"/>
  <c r="AV7" i="22" s="1"/>
  <c r="BI5" i="28"/>
  <c r="BE6" i="28"/>
  <c r="BH4" i="22" s="1"/>
  <c r="BI9" i="28"/>
  <c r="BL7" i="22" s="1"/>
  <c r="BA9" i="28"/>
  <c r="BD7" i="22" s="1"/>
  <c r="BM5" i="28"/>
  <c r="BP3" i="22" s="1"/>
  <c r="BQ9" i="28"/>
  <c r="BY5" i="28"/>
  <c r="CB3" i="22" s="1"/>
  <c r="CC9" i="28"/>
  <c r="CF7" i="22" s="1"/>
  <c r="CK5" i="28"/>
  <c r="CO9" i="28"/>
  <c r="CW5" i="28"/>
  <c r="CZ3" i="22" s="1"/>
  <c r="DA9" i="28"/>
  <c r="DD7" i="22" s="1"/>
  <c r="DQ6" i="28"/>
  <c r="DT4" i="22" s="1"/>
  <c r="DY9" i="28"/>
  <c r="EB7" i="22" s="1"/>
  <c r="C27" i="44"/>
  <c r="AB12" i="45"/>
  <c r="AQ7" i="28"/>
  <c r="AT5" i="22" s="1"/>
  <c r="AW9" i="28"/>
  <c r="AZ7" i="22" s="1"/>
  <c r="AO9" i="28"/>
  <c r="AR7" i="22" s="1"/>
  <c r="BA5" i="28"/>
  <c r="BD3" i="22" s="1"/>
  <c r="BE9" i="28"/>
  <c r="BH7" i="22" s="1"/>
  <c r="BU5" i="28"/>
  <c r="BX3" i="22" s="1"/>
  <c r="BQ6" i="28"/>
  <c r="BT4" i="22" s="1"/>
  <c r="BU9" i="28"/>
  <c r="BX7" i="22" s="1"/>
  <c r="CG5" i="28"/>
  <c r="CJ3" i="22" s="1"/>
  <c r="CC6" i="28"/>
  <c r="CF4" i="22" s="1"/>
  <c r="CS5" i="28"/>
  <c r="CV3" i="22" s="1"/>
  <c r="CO6" i="28"/>
  <c r="CR4" i="22" s="1"/>
  <c r="DE5" i="28"/>
  <c r="DH3" i="22" s="1"/>
  <c r="DA6" i="28"/>
  <c r="DD4" i="22" s="1"/>
  <c r="DQ5" i="28"/>
  <c r="DT3" i="22" s="1"/>
  <c r="DM9" i="28"/>
  <c r="DP7" i="22" s="1"/>
  <c r="AB10" i="45"/>
  <c r="AP5" i="28"/>
  <c r="AL9" i="28"/>
  <c r="AO7" i="22" s="1"/>
  <c r="AP6" i="28"/>
  <c r="AS4" i="22" s="1"/>
  <c r="AV8" i="28"/>
  <c r="AY6" i="22" s="1"/>
  <c r="AN8" i="28"/>
  <c r="AQ6" i="22" s="1"/>
  <c r="BE5" i="28"/>
  <c r="BA6" i="28"/>
  <c r="BC7" i="28"/>
  <c r="BF5" i="22" s="1"/>
  <c r="BU6" i="28"/>
  <c r="BX4" i="22" s="1"/>
  <c r="BS7" i="28"/>
  <c r="BV5" i="22" s="1"/>
  <c r="BK7" i="28"/>
  <c r="BN5" i="22" s="1"/>
  <c r="BM9" i="28"/>
  <c r="BP7" i="22" s="1"/>
  <c r="CG6" i="28"/>
  <c r="CJ4" i="22" s="1"/>
  <c r="BY9" i="28"/>
  <c r="CS6" i="28"/>
  <c r="CV4" i="22" s="1"/>
  <c r="CK9" i="28"/>
  <c r="CN7" i="22" s="1"/>
  <c r="DE6" i="28"/>
  <c r="DH4" i="22" s="1"/>
  <c r="CW9" i="28"/>
  <c r="CZ7" i="22" s="1"/>
  <c r="DM6" i="28"/>
  <c r="DP4" i="22" s="1"/>
  <c r="DQ9" i="28"/>
  <c r="DT7" i="22" s="1"/>
  <c r="DU9" i="28"/>
  <c r="DX7" i="22" s="1"/>
  <c r="AY31" i="28"/>
  <c r="M73" i="5"/>
  <c r="M59" i="5"/>
  <c r="M58" i="5"/>
  <c r="CR5" i="22"/>
  <c r="AS5" i="22"/>
  <c r="AW5" i="22"/>
  <c r="BH5" i="22"/>
  <c r="AB9" i="45"/>
  <c r="C32" i="44"/>
  <c r="AN9" i="45" s="1"/>
  <c r="AA9" i="45"/>
  <c r="AA5" i="28"/>
  <c r="AD3" i="22" s="1"/>
  <c r="AB7" i="28"/>
  <c r="AE5" i="22" s="1"/>
  <c r="AD9" i="28"/>
  <c r="AG7" i="22" s="1"/>
  <c r="AE6" i="28"/>
  <c r="AH4" i="22" s="1"/>
  <c r="AH9" i="28"/>
  <c r="AK7" i="22" s="1"/>
  <c r="AI6" i="28"/>
  <c r="AL4" i="22" s="1"/>
  <c r="AK8" i="28"/>
  <c r="AN6" i="22" s="1"/>
  <c r="BI8" i="28"/>
  <c r="BL6" i="22" s="1"/>
  <c r="BA8" i="28"/>
  <c r="BD6" i="22" s="1"/>
  <c r="BQ8" i="28"/>
  <c r="BT6" i="22" s="1"/>
  <c r="CC8" i="28"/>
  <c r="CF6" i="22" s="1"/>
  <c r="CO8" i="28"/>
  <c r="CR6" i="22" s="1"/>
  <c r="CK8" i="28"/>
  <c r="CN6" i="22" s="1"/>
  <c r="DE8" i="28"/>
  <c r="DH6" i="22" s="1"/>
  <c r="DA8" i="28"/>
  <c r="DD6" i="22" s="1"/>
  <c r="CW8" i="28"/>
  <c r="DI5" i="28"/>
  <c r="DI6" i="28"/>
  <c r="DL4" i="22" s="1"/>
  <c r="DQ8" i="28"/>
  <c r="DT6" i="22" s="1"/>
  <c r="DM8" i="28"/>
  <c r="DP6" i="22" s="1"/>
  <c r="DI8" i="28"/>
  <c r="DL6" i="22" s="1"/>
  <c r="EC5" i="28"/>
  <c r="EF3" i="22" s="1"/>
  <c r="DY5" i="28"/>
  <c r="EB3" i="22" s="1"/>
  <c r="DU5" i="28"/>
  <c r="DX3" i="22" s="1"/>
  <c r="EC6" i="28"/>
  <c r="EF4" i="22" s="1"/>
  <c r="DY6" i="28"/>
  <c r="EB4" i="22" s="1"/>
  <c r="DU6" i="28"/>
  <c r="DX4" i="22" s="1"/>
  <c r="EC8" i="28"/>
  <c r="EF6" i="22" s="1"/>
  <c r="DY8" i="28"/>
  <c r="EB6" i="22" s="1"/>
  <c r="DU8" i="28"/>
  <c r="DX6" i="22" s="1"/>
  <c r="Y9" i="28"/>
  <c r="C19" i="28" s="1"/>
  <c r="Z5" i="28"/>
  <c r="AC3" i="22" s="1"/>
  <c r="Z6" i="28"/>
  <c r="AA7" i="28"/>
  <c r="AD5" i="22" s="1"/>
  <c r="AB8" i="28"/>
  <c r="AE6" i="22" s="1"/>
  <c r="AD5" i="28"/>
  <c r="AG3" i="22" s="1"/>
  <c r="AD6" i="28"/>
  <c r="AG4" i="22" s="1"/>
  <c r="AE7" i="28"/>
  <c r="AH5" i="22" s="1"/>
  <c r="AF8" i="28"/>
  <c r="AI6" i="22" s="1"/>
  <c r="AH5" i="28"/>
  <c r="AK3" i="22" s="1"/>
  <c r="AH6" i="28"/>
  <c r="AK4" i="22" s="1"/>
  <c r="AI7" i="28"/>
  <c r="AL5" i="22" s="1"/>
  <c r="AJ8" i="28"/>
  <c r="AM6" i="22" s="1"/>
  <c r="AW5" i="28"/>
  <c r="AZ3" i="22" s="1"/>
  <c r="AS5" i="28"/>
  <c r="AV3" i="22" s="1"/>
  <c r="AO5" i="28"/>
  <c r="AR3" i="22" s="1"/>
  <c r="AL6" i="28"/>
  <c r="AW6" i="28"/>
  <c r="AZ4" i="22" s="1"/>
  <c r="AS6" i="28"/>
  <c r="AV4" i="22" s="1"/>
  <c r="AO6" i="28"/>
  <c r="AR4" i="22" s="1"/>
  <c r="AV7" i="28"/>
  <c r="AY5" i="22" s="1"/>
  <c r="AR7" i="28"/>
  <c r="AU5" i="22" s="1"/>
  <c r="AN7" i="28"/>
  <c r="AQ5" i="22" s="1"/>
  <c r="AU8" i="28"/>
  <c r="AX6" i="22" s="1"/>
  <c r="AQ8" i="28"/>
  <c r="AT6" i="22" s="1"/>
  <c r="AM8" i="28"/>
  <c r="AP6" i="22" s="1"/>
  <c r="AT9" i="28"/>
  <c r="AP9" i="28"/>
  <c r="AS7" i="22" s="1"/>
  <c r="AX5" i="28"/>
  <c r="BA3" i="22" s="1"/>
  <c r="BF5" i="28"/>
  <c r="BI3" i="22" s="1"/>
  <c r="BB5" i="28"/>
  <c r="BE3" i="22" s="1"/>
  <c r="AX6" i="28"/>
  <c r="BA4" i="22" s="1"/>
  <c r="BF6" i="28"/>
  <c r="BI4" i="22" s="1"/>
  <c r="BB6" i="28"/>
  <c r="BE4" i="22" s="1"/>
  <c r="AX7" i="28"/>
  <c r="BA5" i="22" s="1"/>
  <c r="BF7" i="28"/>
  <c r="BI5" i="22" s="1"/>
  <c r="BB7" i="28"/>
  <c r="BE5" i="22" s="1"/>
  <c r="AX8" i="28"/>
  <c r="BA6" i="22" s="1"/>
  <c r="BF8" i="28"/>
  <c r="BI6" i="22" s="1"/>
  <c r="BB8" i="28"/>
  <c r="BE6" i="22" s="1"/>
  <c r="AX9" i="28"/>
  <c r="BA7" i="22" s="1"/>
  <c r="BF9" i="28"/>
  <c r="BI7" i="22" s="1"/>
  <c r="BB9" i="28"/>
  <c r="BE7" i="22" s="1"/>
  <c r="BJ5" i="28"/>
  <c r="BM3" i="22" s="1"/>
  <c r="BR5" i="28"/>
  <c r="BU3" i="22" s="1"/>
  <c r="BN5" i="28"/>
  <c r="BQ3" i="22" s="1"/>
  <c r="BJ6" i="28"/>
  <c r="BM4" i="22" s="1"/>
  <c r="BR6" i="28"/>
  <c r="BU4" i="22" s="1"/>
  <c r="BN6" i="28"/>
  <c r="BQ4" i="22" s="1"/>
  <c r="BJ7" i="28"/>
  <c r="BM5" i="22" s="1"/>
  <c r="BR7" i="28"/>
  <c r="BU5" i="22" s="1"/>
  <c r="BN7" i="28"/>
  <c r="BQ5" i="22" s="1"/>
  <c r="BJ8" i="28"/>
  <c r="BM6" i="22" s="1"/>
  <c r="BR8" i="28"/>
  <c r="BU6" i="22" s="1"/>
  <c r="BN8" i="28"/>
  <c r="BQ6" i="22" s="1"/>
  <c r="BJ9" i="28"/>
  <c r="BM7" i="22" s="1"/>
  <c r="BR9" i="28"/>
  <c r="BU7" i="22" s="1"/>
  <c r="BN9" i="28"/>
  <c r="BQ7" i="22" s="1"/>
  <c r="BV5" i="28"/>
  <c r="BY3" i="22" s="1"/>
  <c r="CD5" i="28"/>
  <c r="CG3" i="22" s="1"/>
  <c r="BZ5" i="28"/>
  <c r="CC3" i="22" s="1"/>
  <c r="BV6" i="28"/>
  <c r="BY4" i="22" s="1"/>
  <c r="CD6" i="28"/>
  <c r="CG4" i="22" s="1"/>
  <c r="BZ6" i="28"/>
  <c r="CC4" i="22" s="1"/>
  <c r="BV7" i="28"/>
  <c r="BY5" i="22" s="1"/>
  <c r="CD7" i="28"/>
  <c r="CG5" i="22" s="1"/>
  <c r="BZ7" i="28"/>
  <c r="CC5" i="22" s="1"/>
  <c r="BV8" i="28"/>
  <c r="BY6" i="22" s="1"/>
  <c r="CD8" i="28"/>
  <c r="CG6" i="22" s="1"/>
  <c r="BZ8" i="28"/>
  <c r="CC6" i="22" s="1"/>
  <c r="BV9" i="28"/>
  <c r="BY7" i="22" s="1"/>
  <c r="CD9" i="28"/>
  <c r="CG7" i="22" s="1"/>
  <c r="BZ9" i="28"/>
  <c r="CH5" i="28"/>
  <c r="CK3" i="22" s="1"/>
  <c r="CP5" i="28"/>
  <c r="CS3" i="22" s="1"/>
  <c r="CL5" i="28"/>
  <c r="CO3" i="22" s="1"/>
  <c r="CH6" i="28"/>
  <c r="CK4" i="22" s="1"/>
  <c r="CP6" i="28"/>
  <c r="CS4" i="22" s="1"/>
  <c r="CL6" i="28"/>
  <c r="CO4" i="22" s="1"/>
  <c r="CH7" i="28"/>
  <c r="CK5" i="22" s="1"/>
  <c r="CP7" i="28"/>
  <c r="CS5" i="22" s="1"/>
  <c r="CL7" i="28"/>
  <c r="CO5" i="22" s="1"/>
  <c r="CH8" i="28"/>
  <c r="CK6" i="22" s="1"/>
  <c r="CP8" i="28"/>
  <c r="CS6" i="22" s="1"/>
  <c r="CL8" i="28"/>
  <c r="CO6" i="22" s="1"/>
  <c r="CH9" i="28"/>
  <c r="CK7" i="22" s="1"/>
  <c r="CP9" i="28"/>
  <c r="CS7" i="22" s="1"/>
  <c r="CL9" i="28"/>
  <c r="CO7" i="22" s="1"/>
  <c r="CT5" i="28"/>
  <c r="CW3" i="22" s="1"/>
  <c r="DB5" i="28"/>
  <c r="DE3" i="22" s="1"/>
  <c r="CX5" i="28"/>
  <c r="DA3" i="22" s="1"/>
  <c r="CT6" i="28"/>
  <c r="CW4" i="22" s="1"/>
  <c r="DB6" i="28"/>
  <c r="DE4" i="22" s="1"/>
  <c r="CX6" i="28"/>
  <c r="DA4" i="22" s="1"/>
  <c r="CT7" i="28"/>
  <c r="CW5" i="22" s="1"/>
  <c r="DB7" i="28"/>
  <c r="DE5" i="22" s="1"/>
  <c r="CX7" i="28"/>
  <c r="DA5" i="22" s="1"/>
  <c r="CT8" i="28"/>
  <c r="CW6" i="22" s="1"/>
  <c r="DB8" i="28"/>
  <c r="DE6" i="22" s="1"/>
  <c r="CX8" i="28"/>
  <c r="DA6" i="22" s="1"/>
  <c r="CT9" i="28"/>
  <c r="CW7" i="22" s="1"/>
  <c r="DB9" i="28"/>
  <c r="DE7" i="22" s="1"/>
  <c r="CX9" i="28"/>
  <c r="DA7" i="22" s="1"/>
  <c r="DF5" i="28"/>
  <c r="DI3" i="22" s="1"/>
  <c r="DN5" i="28"/>
  <c r="DQ3" i="22" s="1"/>
  <c r="DJ5" i="28"/>
  <c r="DM3" i="22" s="1"/>
  <c r="DF6" i="28"/>
  <c r="DN6" i="28"/>
  <c r="DQ4" i="22" s="1"/>
  <c r="DJ6" i="28"/>
  <c r="DM4" i="22" s="1"/>
  <c r="DF7" i="28"/>
  <c r="DI5" i="22" s="1"/>
  <c r="DN7" i="28"/>
  <c r="DQ5" i="22" s="1"/>
  <c r="DJ7" i="28"/>
  <c r="DM5" i="22" s="1"/>
  <c r="DF8" i="28"/>
  <c r="DI6" i="22" s="1"/>
  <c r="DN8" i="28"/>
  <c r="DQ6" i="22" s="1"/>
  <c r="DJ8" i="28"/>
  <c r="DM6" i="22" s="1"/>
  <c r="DF9" i="28"/>
  <c r="DI7" i="22" s="1"/>
  <c r="DN9" i="28"/>
  <c r="DQ7" i="22" s="1"/>
  <c r="DJ9" i="28"/>
  <c r="DM7" i="22" s="1"/>
  <c r="DZ7" i="28"/>
  <c r="EC5" i="22" s="1"/>
  <c r="DV7" i="28"/>
  <c r="DY5" i="22" s="1"/>
  <c r="DR8" i="28"/>
  <c r="DU6" i="22" s="1"/>
  <c r="DZ8" i="28"/>
  <c r="EC6" i="22" s="1"/>
  <c r="DV8" i="28"/>
  <c r="DY6" i="22" s="1"/>
  <c r="AG8" i="28"/>
  <c r="AJ6" i="22" s="1"/>
  <c r="Y6" i="28"/>
  <c r="AB4" i="22" s="1"/>
  <c r="D15" i="22" s="1"/>
  <c r="AB9" i="28"/>
  <c r="AE7" i="22" s="1"/>
  <c r="AF9" i="28"/>
  <c r="AI7" i="22" s="1"/>
  <c r="BC5" i="28"/>
  <c r="BF3" i="22" s="1"/>
  <c r="BG6" i="28"/>
  <c r="BJ4" i="22" s="1"/>
  <c r="AY6" i="28"/>
  <c r="BB4" i="22" s="1"/>
  <c r="AY8" i="28"/>
  <c r="BB6" i="22" s="1"/>
  <c r="BO5" i="28"/>
  <c r="BR3" i="22" s="1"/>
  <c r="BO6" i="28"/>
  <c r="BR4" i="22" s="1"/>
  <c r="BS8" i="28"/>
  <c r="BV6" i="22" s="1"/>
  <c r="BO8" i="28"/>
  <c r="BR6" i="22" s="1"/>
  <c r="BK8" i="28"/>
  <c r="BN6" i="22" s="1"/>
  <c r="BO9" i="28"/>
  <c r="BR7" i="22" s="1"/>
  <c r="BK9" i="28"/>
  <c r="BN7" i="22" s="1"/>
  <c r="CE5" i="28"/>
  <c r="CH3" i="22" s="1"/>
  <c r="CA5" i="28"/>
  <c r="CD3" i="22" s="1"/>
  <c r="BW5" i="28"/>
  <c r="BZ3" i="22" s="1"/>
  <c r="CE6" i="28"/>
  <c r="CH4" i="22" s="1"/>
  <c r="CA6" i="28"/>
  <c r="CD4" i="22" s="1"/>
  <c r="BW6" i="28"/>
  <c r="BZ4" i="22" s="1"/>
  <c r="CE7" i="28"/>
  <c r="CH5" i="22" s="1"/>
  <c r="CA7" i="28"/>
  <c r="CD5" i="22" s="1"/>
  <c r="BW7" i="28"/>
  <c r="BZ5" i="22" s="1"/>
  <c r="CE8" i="28"/>
  <c r="CH6" i="22" s="1"/>
  <c r="CA8" i="28"/>
  <c r="CD6" i="22" s="1"/>
  <c r="BW8" i="28"/>
  <c r="BZ6" i="22" s="1"/>
  <c r="CE9" i="28"/>
  <c r="CH7" i="22" s="1"/>
  <c r="CA9" i="28"/>
  <c r="CD7" i="22" s="1"/>
  <c r="BW9" i="28"/>
  <c r="BZ7" i="22" s="1"/>
  <c r="CQ5" i="28"/>
  <c r="CT3" i="22" s="1"/>
  <c r="CM5" i="28"/>
  <c r="CP3" i="22" s="1"/>
  <c r="CI5" i="28"/>
  <c r="CL3" i="22" s="1"/>
  <c r="CQ6" i="28"/>
  <c r="CT4" i="22" s="1"/>
  <c r="CM6" i="28"/>
  <c r="CP4" i="22" s="1"/>
  <c r="CI6" i="28"/>
  <c r="CL4" i="22" s="1"/>
  <c r="CQ7" i="28"/>
  <c r="CT5" i="22" s="1"/>
  <c r="CM7" i="28"/>
  <c r="CP5" i="22" s="1"/>
  <c r="CI7" i="28"/>
  <c r="CL5" i="22" s="1"/>
  <c r="CQ8" i="28"/>
  <c r="CT6" i="22" s="1"/>
  <c r="CM8" i="28"/>
  <c r="CP6" i="22" s="1"/>
  <c r="CI8" i="28"/>
  <c r="CL6" i="22" s="1"/>
  <c r="CQ9" i="28"/>
  <c r="CT7" i="22" s="1"/>
  <c r="CM9" i="28"/>
  <c r="CP7" i="22" s="1"/>
  <c r="CI9" i="28"/>
  <c r="CL7" i="22" s="1"/>
  <c r="DC5" i="28"/>
  <c r="DF3" i="22" s="1"/>
  <c r="CY5" i="28"/>
  <c r="DB3" i="22" s="1"/>
  <c r="CU5" i="28"/>
  <c r="DC6" i="28"/>
  <c r="DF4" i="22" s="1"/>
  <c r="CY6" i="28"/>
  <c r="DB4" i="22" s="1"/>
  <c r="CU6" i="28"/>
  <c r="CX4" i="22" s="1"/>
  <c r="DC7" i="28"/>
  <c r="DF5" i="22" s="1"/>
  <c r="CY7" i="28"/>
  <c r="DB5" i="22" s="1"/>
  <c r="CU7" i="28"/>
  <c r="CX5" i="22" s="1"/>
  <c r="DC8" i="28"/>
  <c r="DF6" i="22" s="1"/>
  <c r="CY8" i="28"/>
  <c r="DB6" i="22" s="1"/>
  <c r="CU8" i="28"/>
  <c r="CX6" i="22" s="1"/>
  <c r="DC9" i="28"/>
  <c r="DF7" i="22" s="1"/>
  <c r="CY9" i="28"/>
  <c r="DB7" i="22" s="1"/>
  <c r="CU9" i="28"/>
  <c r="CX7" i="22" s="1"/>
  <c r="DO5" i="28"/>
  <c r="DR3" i="22" s="1"/>
  <c r="DK5" i="28"/>
  <c r="DN3" i="22" s="1"/>
  <c r="DG5" i="28"/>
  <c r="DJ3" i="22" s="1"/>
  <c r="DO6" i="28"/>
  <c r="DR4" i="22" s="1"/>
  <c r="DK6" i="28"/>
  <c r="DN4" i="22" s="1"/>
  <c r="DG6" i="28"/>
  <c r="DJ4" i="22" s="1"/>
  <c r="DO7" i="28"/>
  <c r="DR5" i="22" s="1"/>
  <c r="DK7" i="28"/>
  <c r="DN5" i="22" s="1"/>
  <c r="DG7" i="28"/>
  <c r="DJ5" i="22" s="1"/>
  <c r="DO8" i="28"/>
  <c r="DR6" i="22" s="1"/>
  <c r="DK8" i="28"/>
  <c r="DN6" i="22" s="1"/>
  <c r="DG8" i="28"/>
  <c r="DJ6" i="22" s="1"/>
  <c r="DO9" i="28"/>
  <c r="DR7" i="22" s="1"/>
  <c r="DK9" i="28"/>
  <c r="DN7" i="22" s="1"/>
  <c r="DG9" i="28"/>
  <c r="DJ7" i="22" s="1"/>
  <c r="EA5" i="28"/>
  <c r="ED3" i="22" s="1"/>
  <c r="DW5" i="28"/>
  <c r="DZ3" i="22" s="1"/>
  <c r="DS5" i="28"/>
  <c r="DV3" i="22" s="1"/>
  <c r="EA6" i="28"/>
  <c r="ED4" i="22" s="1"/>
  <c r="DW6" i="28"/>
  <c r="DZ4" i="22" s="1"/>
  <c r="DS6" i="28"/>
  <c r="DV4" i="22" s="1"/>
  <c r="EA8" i="28"/>
  <c r="ED6" i="22" s="1"/>
  <c r="DW8" i="28"/>
  <c r="DZ6" i="22" s="1"/>
  <c r="DS8" i="28"/>
  <c r="DV6" i="22" s="1"/>
  <c r="EA9" i="28"/>
  <c r="ED7" i="22" s="1"/>
  <c r="DW9" i="28"/>
  <c r="DZ7" i="22" s="1"/>
  <c r="DS9" i="28"/>
  <c r="DV7" i="22" s="1"/>
  <c r="Y8" i="28"/>
  <c r="AB6" i="22" s="1"/>
  <c r="D17" i="22" s="1"/>
  <c r="AA6" i="28"/>
  <c r="AD4" i="22" s="1"/>
  <c r="AC8" i="28"/>
  <c r="AF6" i="22" s="1"/>
  <c r="AE5" i="28"/>
  <c r="AF7" i="28"/>
  <c r="AI5" i="22" s="1"/>
  <c r="AI5" i="28"/>
  <c r="AL3" i="22" s="1"/>
  <c r="AJ7" i="28"/>
  <c r="AM5" i="22" s="1"/>
  <c r="BE8" i="28"/>
  <c r="BH6" i="22" s="1"/>
  <c r="BU8" i="28"/>
  <c r="BX6" i="22" s="1"/>
  <c r="BM8" i="28"/>
  <c r="BP6" i="22" s="1"/>
  <c r="CG8" i="28"/>
  <c r="BY8" i="28"/>
  <c r="CS8" i="28"/>
  <c r="Y5" i="28"/>
  <c r="AB3" i="22" s="1"/>
  <c r="D14" i="22" s="1"/>
  <c r="AD7" i="28"/>
  <c r="AG5" i="22" s="1"/>
  <c r="AE8" i="28"/>
  <c r="AH6" i="22" s="1"/>
  <c r="AH7" i="28"/>
  <c r="AK5" i="22" s="1"/>
  <c r="AI8" i="28"/>
  <c r="AL6" i="22" s="1"/>
  <c r="AJ9" i="28"/>
  <c r="AM7" i="22" s="1"/>
  <c r="BG5" i="28"/>
  <c r="AY5" i="28"/>
  <c r="BB3" i="22" s="1"/>
  <c r="BC6" i="28"/>
  <c r="BF4" i="22" s="1"/>
  <c r="BS5" i="28"/>
  <c r="BV3" i="22" s="1"/>
  <c r="BK5" i="28"/>
  <c r="BS6" i="28"/>
  <c r="BV4" i="22" s="1"/>
  <c r="BK6" i="28"/>
  <c r="BN4" i="22" s="1"/>
  <c r="Y7" i="28"/>
  <c r="AB5" i="22" s="1"/>
  <c r="D16" i="22" s="1"/>
  <c r="Z8" i="28"/>
  <c r="AC6" i="22" s="1"/>
  <c r="AB5" i="28"/>
  <c r="AE3" i="22" s="1"/>
  <c r="AB6" i="28"/>
  <c r="AF5" i="28"/>
  <c r="AF6" i="28"/>
  <c r="AI4" i="22" s="1"/>
  <c r="AJ5" i="28"/>
  <c r="AJ6" i="28"/>
  <c r="AM4" i="22" s="1"/>
  <c r="AV9" i="28"/>
  <c r="AY7" i="22" s="1"/>
  <c r="AR9" i="28"/>
  <c r="AU7" i="22" s="1"/>
  <c r="AN9" i="28"/>
  <c r="BH5" i="28"/>
  <c r="BK3" i="22" s="1"/>
  <c r="BD5" i="28"/>
  <c r="BG3" i="22" s="1"/>
  <c r="AZ5" i="28"/>
  <c r="BC3" i="22" s="1"/>
  <c r="BH6" i="28"/>
  <c r="BK4" i="22" s="1"/>
  <c r="BD6" i="28"/>
  <c r="BG4" i="22" s="1"/>
  <c r="AZ6" i="28"/>
  <c r="BC4" i="22" s="1"/>
  <c r="BH7" i="28"/>
  <c r="BK5" i="22" s="1"/>
  <c r="BD7" i="28"/>
  <c r="BG5" i="22" s="1"/>
  <c r="AZ7" i="28"/>
  <c r="BC5" i="22" s="1"/>
  <c r="BH8" i="28"/>
  <c r="BK6" i="22" s="1"/>
  <c r="BD8" i="28"/>
  <c r="BG6" i="22" s="1"/>
  <c r="AZ8" i="28"/>
  <c r="BC6" i="22" s="1"/>
  <c r="BH9" i="28"/>
  <c r="BK7" i="22" s="1"/>
  <c r="BD9" i="28"/>
  <c r="BG7" i="22" s="1"/>
  <c r="AZ9" i="28"/>
  <c r="BC7" i="22" s="1"/>
  <c r="BT5" i="28"/>
  <c r="BW3" i="22" s="1"/>
  <c r="BP5" i="28"/>
  <c r="BS3" i="22" s="1"/>
  <c r="BL5" i="28"/>
  <c r="BT6" i="28"/>
  <c r="BW4" i="22" s="1"/>
  <c r="BP6" i="28"/>
  <c r="BS4" i="22" s="1"/>
  <c r="BL6" i="28"/>
  <c r="BO4" i="22" s="1"/>
  <c r="BT7" i="28"/>
  <c r="BW5" i="22" s="1"/>
  <c r="BP7" i="28"/>
  <c r="BS5" i="22" s="1"/>
  <c r="BL7" i="28"/>
  <c r="BO5" i="22" s="1"/>
  <c r="BT8" i="28"/>
  <c r="BW6" i="22" s="1"/>
  <c r="BP8" i="28"/>
  <c r="BS6" i="22" s="1"/>
  <c r="BL8" i="28"/>
  <c r="BO6" i="22" s="1"/>
  <c r="BT9" i="28"/>
  <c r="BW7" i="22" s="1"/>
  <c r="BP9" i="28"/>
  <c r="BS7" i="22" s="1"/>
  <c r="BL9" i="28"/>
  <c r="CF5" i="28"/>
  <c r="CI3" i="22" s="1"/>
  <c r="CB5" i="28"/>
  <c r="CE3" i="22" s="1"/>
  <c r="BX5" i="28"/>
  <c r="CA3" i="22" s="1"/>
  <c r="CF6" i="28"/>
  <c r="CI4" i="22" s="1"/>
  <c r="CB6" i="28"/>
  <c r="CE4" i="22" s="1"/>
  <c r="BX6" i="28"/>
  <c r="CA4" i="22" s="1"/>
  <c r="CF7" i="28"/>
  <c r="CI5" i="22" s="1"/>
  <c r="CB7" i="28"/>
  <c r="CE5" i="22" s="1"/>
  <c r="BX7" i="28"/>
  <c r="CA5" i="22" s="1"/>
  <c r="CF8" i="28"/>
  <c r="CI6" i="22" s="1"/>
  <c r="CB8" i="28"/>
  <c r="CE6" i="22" s="1"/>
  <c r="BX8" i="28"/>
  <c r="CA6" i="22" s="1"/>
  <c r="CF9" i="28"/>
  <c r="CI7" i="22" s="1"/>
  <c r="CB9" i="28"/>
  <c r="CE7" i="22" s="1"/>
  <c r="BX9" i="28"/>
  <c r="CA7" i="22" s="1"/>
  <c r="CR5" i="28"/>
  <c r="CU3" i="22" s="1"/>
  <c r="CN5" i="28"/>
  <c r="CQ3" i="22" s="1"/>
  <c r="CJ5" i="28"/>
  <c r="CM3" i="22" s="1"/>
  <c r="CR6" i="28"/>
  <c r="CU4" i="22" s="1"/>
  <c r="CN6" i="28"/>
  <c r="CQ4" i="22" s="1"/>
  <c r="CJ6" i="28"/>
  <c r="CM4" i="22" s="1"/>
  <c r="CR7" i="28"/>
  <c r="CU5" i="22" s="1"/>
  <c r="CN7" i="28"/>
  <c r="CQ5" i="22" s="1"/>
  <c r="CJ7" i="28"/>
  <c r="CM5" i="22" s="1"/>
  <c r="CR8" i="28"/>
  <c r="CU6" i="22" s="1"/>
  <c r="CN8" i="28"/>
  <c r="CQ6" i="22" s="1"/>
  <c r="CJ8" i="28"/>
  <c r="CM6" i="22" s="1"/>
  <c r="CR9" i="28"/>
  <c r="CU7" i="22" s="1"/>
  <c r="CN9" i="28"/>
  <c r="CQ7" i="22" s="1"/>
  <c r="CJ9" i="28"/>
  <c r="CM7" i="22" s="1"/>
  <c r="DD5" i="28"/>
  <c r="DG3" i="22" s="1"/>
  <c r="CZ5" i="28"/>
  <c r="DC3" i="22" s="1"/>
  <c r="CV5" i="28"/>
  <c r="CY3" i="22" s="1"/>
  <c r="DD6" i="28"/>
  <c r="DG4" i="22" s="1"/>
  <c r="CZ6" i="28"/>
  <c r="DC4" i="22" s="1"/>
  <c r="CV6" i="28"/>
  <c r="CY4" i="22" s="1"/>
  <c r="DD7" i="28"/>
  <c r="DG5" i="22" s="1"/>
  <c r="CZ7" i="28"/>
  <c r="DC5" i="22" s="1"/>
  <c r="CV7" i="28"/>
  <c r="CY5" i="22" s="1"/>
  <c r="DD8" i="28"/>
  <c r="DG6" i="22" s="1"/>
  <c r="CZ8" i="28"/>
  <c r="DC6" i="22" s="1"/>
  <c r="CV8" i="28"/>
  <c r="CY6" i="22" s="1"/>
  <c r="DD9" i="28"/>
  <c r="DG7" i="22" s="1"/>
  <c r="CZ9" i="28"/>
  <c r="DC7" i="22" s="1"/>
  <c r="CV9" i="28"/>
  <c r="CY7" i="22" s="1"/>
  <c r="DP5" i="28"/>
  <c r="DS3" i="22" s="1"/>
  <c r="DL5" i="28"/>
  <c r="DO3" i="22" s="1"/>
  <c r="DH5" i="28"/>
  <c r="DK3" i="22" s="1"/>
  <c r="DP6" i="28"/>
  <c r="DS4" i="22" s="1"/>
  <c r="DL6" i="28"/>
  <c r="DO4" i="22" s="1"/>
  <c r="DH6" i="28"/>
  <c r="DK4" i="22" s="1"/>
  <c r="DP7" i="28"/>
  <c r="DS5" i="22" s="1"/>
  <c r="DL7" i="28"/>
  <c r="DO5" i="22" s="1"/>
  <c r="DH7" i="28"/>
  <c r="DK5" i="22" s="1"/>
  <c r="DP8" i="28"/>
  <c r="DS6" i="22" s="1"/>
  <c r="DL8" i="28"/>
  <c r="DO6" i="22" s="1"/>
  <c r="DH8" i="28"/>
  <c r="DK6" i="22" s="1"/>
  <c r="DP9" i="28"/>
  <c r="DS7" i="22" s="1"/>
  <c r="DL9" i="28"/>
  <c r="DO7" i="22" s="1"/>
  <c r="DH9" i="28"/>
  <c r="DK7" i="22" s="1"/>
  <c r="BH31" i="28"/>
  <c r="BD31" i="28"/>
  <c r="AZ31" i="28"/>
  <c r="AA72" i="18"/>
  <c r="Z72" i="18"/>
  <c r="AA69" i="18"/>
  <c r="Z69" i="18"/>
  <c r="AA70" i="18"/>
  <c r="Z70" i="18"/>
  <c r="AA71" i="18"/>
  <c r="Z71" i="18"/>
  <c r="DP5" i="22"/>
  <c r="G20" i="28"/>
  <c r="I20" i="28"/>
  <c r="ED5" i="22"/>
  <c r="DZ5" i="22"/>
  <c r="DV5" i="22"/>
  <c r="K20" i="28"/>
  <c r="DU5" i="22"/>
  <c r="EE5" i="22"/>
  <c r="EA5" i="22"/>
  <c r="DW5" i="22"/>
  <c r="AF3" i="22"/>
  <c r="AJ3" i="22"/>
  <c r="AN3" i="22"/>
  <c r="AP3" i="22"/>
  <c r="EE7" i="22"/>
  <c r="EA7" i="22"/>
  <c r="DW7" i="22"/>
  <c r="AT3" i="22"/>
  <c r="AX4" i="22"/>
  <c r="AP4" i="22"/>
  <c r="AQ4" i="22"/>
  <c r="BL3" i="22"/>
  <c r="BH3" i="22"/>
  <c r="BT7" i="22"/>
  <c r="CB7" i="22"/>
  <c r="CN4" i="22"/>
  <c r="CR7" i="22"/>
  <c r="DL7" i="22"/>
  <c r="AX3" i="22"/>
  <c r="AT4" i="22"/>
  <c r="AF7" i="22"/>
  <c r="AJ7" i="22"/>
  <c r="AN7" i="22"/>
  <c r="CC7" i="22"/>
  <c r="DU3" i="22"/>
  <c r="EC3" i="22"/>
  <c r="DY3" i="22"/>
  <c r="EC4" i="22"/>
  <c r="DY4" i="22"/>
  <c r="DU7" i="22"/>
  <c r="EC7" i="22"/>
  <c r="DY7" i="22"/>
  <c r="AU3" i="22"/>
  <c r="CF3" i="22"/>
  <c r="CR3" i="22"/>
  <c r="CN3" i="22"/>
  <c r="AS3" i="22"/>
  <c r="AO6" i="22"/>
  <c r="DU4" i="22"/>
  <c r="J20" i="28"/>
  <c r="L20" i="28"/>
  <c r="H20" i="28"/>
  <c r="BI31" i="28"/>
  <c r="BE31" i="28"/>
  <c r="BA31" i="28"/>
  <c r="F10" i="44"/>
  <c r="BF31" i="28"/>
  <c r="BB31" i="28"/>
  <c r="BG31" i="28"/>
  <c r="BC31" i="28"/>
  <c r="AX31" i="28"/>
  <c r="F20" i="28"/>
  <c r="D41" i="28"/>
  <c r="E41" i="28"/>
  <c r="D15" i="1"/>
  <c r="D14" i="1"/>
  <c r="D13" i="1"/>
  <c r="D27" i="45" l="1"/>
  <c r="H31" i="45"/>
  <c r="AG11" i="28"/>
  <c r="AQ11" i="28"/>
  <c r="AN10" i="42"/>
  <c r="AK11" i="28"/>
  <c r="DT11" i="28"/>
  <c r="D28" i="45"/>
  <c r="I30" i="44"/>
  <c r="CL14" i="45"/>
  <c r="CT14" i="45"/>
  <c r="CO14" i="45"/>
  <c r="CS14" i="45"/>
  <c r="CN14" i="45"/>
  <c r="CR14" i="45"/>
  <c r="CV14" i="45"/>
  <c r="CK14" i="45"/>
  <c r="CM14" i="45"/>
  <c r="CQ14" i="45"/>
  <c r="CU14" i="45"/>
  <c r="CP14" i="45"/>
  <c r="BG11" i="28"/>
  <c r="D29" i="45"/>
  <c r="I31" i="45"/>
  <c r="I29" i="44"/>
  <c r="CQ13" i="45"/>
  <c r="CL13" i="45"/>
  <c r="CP13" i="45"/>
  <c r="CT13" i="45"/>
  <c r="CK13" i="45"/>
  <c r="CO13" i="45"/>
  <c r="CS13" i="45"/>
  <c r="CN13" i="45"/>
  <c r="CR13" i="45"/>
  <c r="CV13" i="45"/>
  <c r="CM13" i="45"/>
  <c r="CU13" i="45"/>
  <c r="I32" i="45"/>
  <c r="AN5" i="22"/>
  <c r="E16" i="22" s="1"/>
  <c r="DX11" i="28"/>
  <c r="D30" i="45"/>
  <c r="AL10" i="45"/>
  <c r="AE10" i="45"/>
  <c r="AF10" i="45"/>
  <c r="AI10" i="45"/>
  <c r="AG10" i="45"/>
  <c r="D26" i="44"/>
  <c r="AP10" i="45" s="1"/>
  <c r="AM10" i="45"/>
  <c r="AK10" i="45"/>
  <c r="AD10" i="45"/>
  <c r="AN10" i="45"/>
  <c r="AC10" i="45"/>
  <c r="AH10" i="45"/>
  <c r="CC11" i="28"/>
  <c r="CW11" i="28"/>
  <c r="BA11" i="28"/>
  <c r="AP11" i="28"/>
  <c r="AO11" i="28"/>
  <c r="EB11" i="28"/>
  <c r="BM11" i="28"/>
  <c r="AT11" i="28"/>
  <c r="C16" i="28"/>
  <c r="CG11" i="28"/>
  <c r="AB7" i="22"/>
  <c r="D18" i="22" s="1"/>
  <c r="CS11" i="28"/>
  <c r="AU11" i="28"/>
  <c r="DA11" i="28"/>
  <c r="BD4" i="22"/>
  <c r="G15" i="22" s="1"/>
  <c r="BY11" i="28"/>
  <c r="AR5" i="22"/>
  <c r="F16" i="22" s="1"/>
  <c r="BP4" i="22"/>
  <c r="H15" i="22" s="1"/>
  <c r="AL11" i="28"/>
  <c r="L17" i="28"/>
  <c r="AD12" i="45"/>
  <c r="AH12" i="45"/>
  <c r="AL12" i="45"/>
  <c r="AG12" i="45"/>
  <c r="AK12" i="45"/>
  <c r="AC12" i="45"/>
  <c r="AE12" i="45"/>
  <c r="AI12" i="45"/>
  <c r="AM12" i="45"/>
  <c r="D28" i="44"/>
  <c r="AN12" i="45"/>
  <c r="AJ12" i="45"/>
  <c r="AF12" i="45"/>
  <c r="AI9" i="45"/>
  <c r="D27" i="44"/>
  <c r="AD11" i="45"/>
  <c r="AH11" i="45"/>
  <c r="AL11" i="45"/>
  <c r="AG11" i="45"/>
  <c r="AK11" i="45"/>
  <c r="AC11" i="45"/>
  <c r="AE11" i="45"/>
  <c r="AI11" i="45"/>
  <c r="AM11" i="45"/>
  <c r="AF11" i="45"/>
  <c r="AN11" i="45"/>
  <c r="AJ11" i="45"/>
  <c r="E19" i="28"/>
  <c r="AJ11" i="28"/>
  <c r="AE11" i="28"/>
  <c r="DM11" i="28"/>
  <c r="CZ6" i="22"/>
  <c r="K17" i="22" s="1"/>
  <c r="AQ7" i="22"/>
  <c r="K18" i="28"/>
  <c r="DO11" i="28"/>
  <c r="BE11" i="28"/>
  <c r="AM3" i="22"/>
  <c r="BK11" i="28"/>
  <c r="H19" i="28"/>
  <c r="BC11" i="28"/>
  <c r="DV11" i="28"/>
  <c r="BS11" i="28"/>
  <c r="H17" i="28"/>
  <c r="DS11" i="28"/>
  <c r="DF11" i="28"/>
  <c r="CV11" i="28"/>
  <c r="G18" i="28"/>
  <c r="AW11" i="28"/>
  <c r="CR11" i="28"/>
  <c r="AH3" i="22"/>
  <c r="BN3" i="22"/>
  <c r="BJ3" i="22"/>
  <c r="G14" i="22" s="1"/>
  <c r="CJ6" i="22"/>
  <c r="K16" i="28"/>
  <c r="BV11" i="28"/>
  <c r="AD11" i="28"/>
  <c r="Z11" i="28"/>
  <c r="DI11" i="28"/>
  <c r="AX11" i="28"/>
  <c r="CT11" i="28"/>
  <c r="I18" i="28"/>
  <c r="BW11" i="28"/>
  <c r="DN11" i="28"/>
  <c r="C18" i="28"/>
  <c r="CQ11" i="28"/>
  <c r="DZ11" i="28"/>
  <c r="AC4" i="22"/>
  <c r="AR11" i="28"/>
  <c r="CO11" i="28"/>
  <c r="AI11" i="28"/>
  <c r="DI4" i="22"/>
  <c r="L15" i="22" s="1"/>
  <c r="BI11" i="28"/>
  <c r="DE11" i="28"/>
  <c r="J17" i="28"/>
  <c r="AM11" i="28"/>
  <c r="BQ11" i="28"/>
  <c r="DH11" i="28"/>
  <c r="J16" i="28"/>
  <c r="G19" i="28"/>
  <c r="AF11" i="28"/>
  <c r="L19" i="28"/>
  <c r="DK11" i="28"/>
  <c r="DC11" i="28"/>
  <c r="BF11" i="28"/>
  <c r="D16" i="28"/>
  <c r="BR11" i="28"/>
  <c r="F16" i="28"/>
  <c r="BH11" i="28"/>
  <c r="CD11" i="28"/>
  <c r="AC11" i="28"/>
  <c r="I16" i="28"/>
  <c r="AS11" i="28"/>
  <c r="DL3" i="22"/>
  <c r="L14" i="22" s="1"/>
  <c r="AN11" i="28"/>
  <c r="BO7" i="22"/>
  <c r="H18" i="22" s="1"/>
  <c r="CV6" i="22"/>
  <c r="J17" i="22" s="1"/>
  <c r="BB11" i="28"/>
  <c r="CX11" i="28"/>
  <c r="E17" i="28"/>
  <c r="G16" i="28"/>
  <c r="AI3" i="22"/>
  <c r="BZ11" i="28"/>
  <c r="Y11" i="28"/>
  <c r="C21" i="28" s="1"/>
  <c r="D18" i="28"/>
  <c r="AW7" i="22"/>
  <c r="CU11" i="28"/>
  <c r="J19" i="28"/>
  <c r="DB11" i="28"/>
  <c r="BJ11" i="28"/>
  <c r="DY11" i="28"/>
  <c r="CK11" i="28"/>
  <c r="AB11" i="28"/>
  <c r="D19" i="28"/>
  <c r="M72" i="5"/>
  <c r="AL9" i="45"/>
  <c r="AE9" i="45"/>
  <c r="D32" i="44"/>
  <c r="E32" i="44" s="1"/>
  <c r="F32" i="44" s="1"/>
  <c r="G32" i="44" s="1"/>
  <c r="H32" i="44" s="1"/>
  <c r="I32" i="44" s="1"/>
  <c r="J32" i="44" s="1"/>
  <c r="K32" i="44" s="1"/>
  <c r="G16" i="22"/>
  <c r="AH9" i="45"/>
  <c r="AK9" i="45"/>
  <c r="AD9" i="45"/>
  <c r="AG9" i="45"/>
  <c r="AJ9" i="45"/>
  <c r="AC9" i="45"/>
  <c r="AM9" i="45"/>
  <c r="AF9" i="45"/>
  <c r="K16" i="22"/>
  <c r="H16" i="22"/>
  <c r="J16" i="22"/>
  <c r="L16" i="22"/>
  <c r="M17" i="22"/>
  <c r="I16" i="22"/>
  <c r="E17" i="22"/>
  <c r="L17" i="22"/>
  <c r="BL11" i="28"/>
  <c r="AY11" i="28"/>
  <c r="CY11" i="28"/>
  <c r="F17" i="22"/>
  <c r="BO11" i="28"/>
  <c r="DG11" i="28"/>
  <c r="J18" i="28"/>
  <c r="F17" i="28"/>
  <c r="CH11" i="28"/>
  <c r="BN11" i="28"/>
  <c r="CE11" i="28"/>
  <c r="DJ11" i="28"/>
  <c r="EA11" i="28"/>
  <c r="L18" i="28"/>
  <c r="H16" i="28"/>
  <c r="BD11" i="28"/>
  <c r="BU11" i="28"/>
  <c r="CM11" i="28"/>
  <c r="DD11" i="28"/>
  <c r="F19" i="28"/>
  <c r="L16" i="28"/>
  <c r="I19" i="28"/>
  <c r="H18" i="28"/>
  <c r="F18" i="28"/>
  <c r="AO4" i="22"/>
  <c r="F15" i="22" s="1"/>
  <c r="CB11" i="28"/>
  <c r="BT11" i="28"/>
  <c r="AE4" i="22"/>
  <c r="CX3" i="22"/>
  <c r="K14" i="22" s="1"/>
  <c r="CN11" i="28"/>
  <c r="CF11" i="28"/>
  <c r="D17" i="28"/>
  <c r="DU11" i="28"/>
  <c r="H17" i="22"/>
  <c r="DR11" i="28"/>
  <c r="G17" i="22"/>
  <c r="AA11" i="28"/>
  <c r="K19" i="28"/>
  <c r="G17" i="28"/>
  <c r="CA11" i="28"/>
  <c r="DW11" i="28"/>
  <c r="AH11" i="28"/>
  <c r="I17" i="28"/>
  <c r="E16" i="28"/>
  <c r="BO3" i="22"/>
  <c r="H14" i="22" s="1"/>
  <c r="AZ11" i="28"/>
  <c r="CI11" i="28"/>
  <c r="CZ11" i="28"/>
  <c r="DQ11" i="28"/>
  <c r="K17" i="28"/>
  <c r="C17" i="28"/>
  <c r="E18" i="28"/>
  <c r="AV11" i="28"/>
  <c r="CB6" i="22"/>
  <c r="CJ11" i="28"/>
  <c r="CP11" i="28"/>
  <c r="DP11" i="28"/>
  <c r="DL11" i="28"/>
  <c r="BX11" i="28"/>
  <c r="BP11" i="28"/>
  <c r="CL11" i="28"/>
  <c r="EC11" i="28"/>
  <c r="J15" i="22"/>
  <c r="M16" i="22"/>
  <c r="E18" i="22"/>
  <c r="K18" i="22"/>
  <c r="M18" i="22"/>
  <c r="L18" i="22"/>
  <c r="M15" i="22"/>
  <c r="I15" i="22"/>
  <c r="F14" i="22"/>
  <c r="J18" i="22"/>
  <c r="K15" i="22"/>
  <c r="I14" i="22"/>
  <c r="M14" i="22"/>
  <c r="I18" i="22"/>
  <c r="G18" i="22"/>
  <c r="J14" i="22"/>
  <c r="F41" i="28"/>
  <c r="BK31" i="28"/>
  <c r="BO31" i="28"/>
  <c r="BS31" i="28"/>
  <c r="BP31" i="28"/>
  <c r="G10" i="44"/>
  <c r="BN31" i="28"/>
  <c r="BR31" i="28"/>
  <c r="BJ31" i="28"/>
  <c r="BM31" i="28"/>
  <c r="BQ31" i="28"/>
  <c r="BU31" i="28"/>
  <c r="BL31" i="28"/>
  <c r="BT31" i="28"/>
  <c r="O23" i="46"/>
  <c r="P23" i="46"/>
  <c r="S23" i="46" s="1"/>
  <c r="O22" i="46"/>
  <c r="P22" i="46"/>
  <c r="T22" i="46" s="1"/>
  <c r="AB15" i="46"/>
  <c r="AD15" i="46" s="1"/>
  <c r="AB16" i="46"/>
  <c r="AG16" i="46" s="1"/>
  <c r="AB17" i="46"/>
  <c r="AD17" i="46" s="1"/>
  <c r="AB18" i="46"/>
  <c r="AD18" i="46" s="1"/>
  <c r="AB19" i="46"/>
  <c r="AD19" i="46" s="1"/>
  <c r="AB20" i="46"/>
  <c r="AD20" i="46" s="1"/>
  <c r="AB14" i="46"/>
  <c r="AD14" i="46" s="1"/>
  <c r="R20" i="46"/>
  <c r="S20" i="46"/>
  <c r="T20" i="46"/>
  <c r="U20" i="46"/>
  <c r="V20" i="46"/>
  <c r="W20" i="46"/>
  <c r="X20" i="46"/>
  <c r="Y20" i="46"/>
  <c r="Z20" i="46"/>
  <c r="AA20" i="46"/>
  <c r="Q20" i="46"/>
  <c r="R19" i="46"/>
  <c r="S19" i="46"/>
  <c r="T19" i="46"/>
  <c r="U19" i="46"/>
  <c r="V19" i="46"/>
  <c r="W19" i="46"/>
  <c r="X19" i="46"/>
  <c r="Y19" i="46"/>
  <c r="Z19" i="46"/>
  <c r="AA19" i="46"/>
  <c r="Q19" i="46"/>
  <c r="R18" i="46"/>
  <c r="S18" i="46"/>
  <c r="T18" i="46"/>
  <c r="U18" i="46"/>
  <c r="V18" i="46"/>
  <c r="W18" i="46"/>
  <c r="X18" i="46"/>
  <c r="Y18" i="46"/>
  <c r="Z18" i="46"/>
  <c r="AA18" i="46"/>
  <c r="Q18" i="46"/>
  <c r="R17" i="46"/>
  <c r="S17" i="46"/>
  <c r="T17" i="46"/>
  <c r="U17" i="46"/>
  <c r="V17" i="46"/>
  <c r="W17" i="46"/>
  <c r="X17" i="46"/>
  <c r="Y17" i="46"/>
  <c r="Z17" i="46"/>
  <c r="AA17" i="46"/>
  <c r="Q17" i="46"/>
  <c r="R16" i="46"/>
  <c r="S16" i="46"/>
  <c r="T16" i="46"/>
  <c r="U16" i="46"/>
  <c r="V16" i="46"/>
  <c r="W16" i="46"/>
  <c r="X16" i="46"/>
  <c r="Y16" i="46"/>
  <c r="Z16" i="46"/>
  <c r="AA16" i="46"/>
  <c r="Q16" i="46"/>
  <c r="R15" i="46"/>
  <c r="S15" i="46"/>
  <c r="T15" i="46"/>
  <c r="U15" i="46"/>
  <c r="V15" i="46"/>
  <c r="W15" i="46"/>
  <c r="X15" i="46"/>
  <c r="Y15" i="46"/>
  <c r="Z15" i="46"/>
  <c r="AA15" i="46"/>
  <c r="Q15" i="46"/>
  <c r="R14" i="46"/>
  <c r="S14" i="46"/>
  <c r="T14" i="46"/>
  <c r="U14" i="46"/>
  <c r="V14" i="46"/>
  <c r="W14" i="46"/>
  <c r="X14" i="46"/>
  <c r="Y14" i="46"/>
  <c r="Z14" i="46"/>
  <c r="AA14" i="46"/>
  <c r="Q14" i="46"/>
  <c r="O20" i="46"/>
  <c r="P20" i="46"/>
  <c r="O19" i="46"/>
  <c r="P19" i="46"/>
  <c r="O18" i="46"/>
  <c r="P18" i="46"/>
  <c r="O17" i="46"/>
  <c r="P17" i="46"/>
  <c r="O16" i="46"/>
  <c r="P16" i="46"/>
  <c r="O15" i="46"/>
  <c r="P15" i="46"/>
  <c r="O14" i="46"/>
  <c r="P14" i="46"/>
  <c r="AN12" i="46"/>
  <c r="AR12" i="46" s="1"/>
  <c r="AM12" i="46"/>
  <c r="AN11" i="46"/>
  <c r="AR11" i="46" s="1"/>
  <c r="AM11" i="46"/>
  <c r="AN10" i="46"/>
  <c r="AR10" i="46" s="1"/>
  <c r="AM10" i="46"/>
  <c r="AN9" i="46"/>
  <c r="AR9" i="46" s="1"/>
  <c r="AM9" i="46"/>
  <c r="AN8" i="46"/>
  <c r="AR8" i="46" s="1"/>
  <c r="AM8" i="46"/>
  <c r="AN7" i="46"/>
  <c r="AR7" i="46" s="1"/>
  <c r="AM7" i="46"/>
  <c r="AN6" i="46"/>
  <c r="AR6" i="46" s="1"/>
  <c r="AM6" i="46"/>
  <c r="AN5" i="46"/>
  <c r="AR5" i="46" s="1"/>
  <c r="AM5" i="46"/>
  <c r="AD12" i="46"/>
  <c r="AE12" i="46"/>
  <c r="AF12" i="46"/>
  <c r="AG12" i="46"/>
  <c r="AH12" i="46"/>
  <c r="AI12" i="46"/>
  <c r="AJ12" i="46"/>
  <c r="AK12" i="46"/>
  <c r="AL12" i="46"/>
  <c r="AC12" i="46"/>
  <c r="AD11" i="46"/>
  <c r="AE11" i="46"/>
  <c r="AF11" i="46"/>
  <c r="AG11" i="46"/>
  <c r="AH11" i="46"/>
  <c r="AI11" i="46"/>
  <c r="AJ11" i="46"/>
  <c r="AK11" i="46"/>
  <c r="AL11" i="46"/>
  <c r="AC11" i="46"/>
  <c r="AD10" i="46"/>
  <c r="AE10" i="46"/>
  <c r="AF10" i="46"/>
  <c r="AG10" i="46"/>
  <c r="AH10" i="46"/>
  <c r="AI10" i="46"/>
  <c r="AJ10" i="46"/>
  <c r="AK10" i="46"/>
  <c r="AL10" i="46"/>
  <c r="AC10" i="46"/>
  <c r="AD9" i="46"/>
  <c r="AE9" i="46"/>
  <c r="AF9" i="46"/>
  <c r="AG9" i="46"/>
  <c r="AH9" i="46"/>
  <c r="AI9" i="46"/>
  <c r="AJ9" i="46"/>
  <c r="AK9" i="46"/>
  <c r="AL9" i="46"/>
  <c r="AC9" i="46"/>
  <c r="AD8" i="46"/>
  <c r="AE8" i="46"/>
  <c r="AF8" i="46"/>
  <c r="AG8" i="46"/>
  <c r="AH8" i="46"/>
  <c r="AI8" i="46"/>
  <c r="AJ8" i="46"/>
  <c r="AK8" i="46"/>
  <c r="AL8" i="46"/>
  <c r="AC8" i="46"/>
  <c r="AD7" i="46"/>
  <c r="AE7" i="46"/>
  <c r="AF7" i="46"/>
  <c r="AG7" i="46"/>
  <c r="AH7" i="46"/>
  <c r="AI7" i="46"/>
  <c r="AJ7" i="46"/>
  <c r="AK7" i="46"/>
  <c r="AL7" i="46"/>
  <c r="AC7" i="46"/>
  <c r="AD6" i="46"/>
  <c r="AE6" i="46"/>
  <c r="AF6" i="46"/>
  <c r="AG6" i="46"/>
  <c r="AH6" i="46"/>
  <c r="AI6" i="46"/>
  <c r="AJ6" i="46"/>
  <c r="AK6" i="46"/>
  <c r="AL6" i="46"/>
  <c r="AC6" i="46"/>
  <c r="AD5" i="46"/>
  <c r="AE5" i="46"/>
  <c r="AF5" i="46"/>
  <c r="AG5" i="46"/>
  <c r="AH5" i="46"/>
  <c r="AI5" i="46"/>
  <c r="AJ5" i="46"/>
  <c r="AK5" i="46"/>
  <c r="AL5" i="46"/>
  <c r="AC5" i="46"/>
  <c r="AB6" i="46"/>
  <c r="AB7" i="46"/>
  <c r="AB8" i="46"/>
  <c r="AB9" i="46"/>
  <c r="AB10" i="46"/>
  <c r="AB11" i="46"/>
  <c r="AB12" i="46"/>
  <c r="AB5" i="46"/>
  <c r="R12" i="46"/>
  <c r="S12" i="46"/>
  <c r="T12" i="46"/>
  <c r="U12" i="46"/>
  <c r="V12" i="46"/>
  <c r="W12" i="46"/>
  <c r="X12" i="46"/>
  <c r="Y12" i="46"/>
  <c r="Z12" i="46"/>
  <c r="AA12" i="46"/>
  <c r="Q12" i="46"/>
  <c r="R11" i="46"/>
  <c r="S11" i="46"/>
  <c r="T11" i="46"/>
  <c r="U11" i="46"/>
  <c r="V11" i="46"/>
  <c r="W11" i="46"/>
  <c r="X11" i="46"/>
  <c r="Y11" i="46"/>
  <c r="Z11" i="46"/>
  <c r="AA11" i="46"/>
  <c r="Q11" i="46"/>
  <c r="R10" i="46"/>
  <c r="S10" i="46"/>
  <c r="T10" i="46"/>
  <c r="U10" i="46"/>
  <c r="V10" i="46"/>
  <c r="W10" i="46"/>
  <c r="X10" i="46"/>
  <c r="Y10" i="46"/>
  <c r="Z10" i="46"/>
  <c r="AA10" i="46"/>
  <c r="Q10" i="46"/>
  <c r="R9" i="46"/>
  <c r="S9" i="46"/>
  <c r="T9" i="46"/>
  <c r="U9" i="46"/>
  <c r="V9" i="46"/>
  <c r="W9" i="46"/>
  <c r="X9" i="46"/>
  <c r="Y9" i="46"/>
  <c r="Z9" i="46"/>
  <c r="AA9" i="46"/>
  <c r="Q9" i="46"/>
  <c r="R8" i="46"/>
  <c r="S8" i="46"/>
  <c r="T8" i="46"/>
  <c r="U8" i="46"/>
  <c r="V8" i="46"/>
  <c r="W8" i="46"/>
  <c r="X8" i="46"/>
  <c r="Y8" i="46"/>
  <c r="Z8" i="46"/>
  <c r="AA8" i="46"/>
  <c r="Q8" i="46"/>
  <c r="R7" i="46"/>
  <c r="S7" i="46"/>
  <c r="T7" i="46"/>
  <c r="U7" i="46"/>
  <c r="V7" i="46"/>
  <c r="W7" i="46"/>
  <c r="X7" i="46"/>
  <c r="Y7" i="46"/>
  <c r="Z7" i="46"/>
  <c r="AA7" i="46"/>
  <c r="Q7" i="46"/>
  <c r="R6" i="46"/>
  <c r="S6" i="46"/>
  <c r="T6" i="46"/>
  <c r="U6" i="46"/>
  <c r="V6" i="46"/>
  <c r="W6" i="46"/>
  <c r="X6" i="46"/>
  <c r="Y6" i="46"/>
  <c r="Z6" i="46"/>
  <c r="AA6" i="46"/>
  <c r="Q6" i="46"/>
  <c r="R5" i="46"/>
  <c r="S5" i="46"/>
  <c r="T5" i="46"/>
  <c r="U5" i="46"/>
  <c r="V5" i="46"/>
  <c r="W5" i="46"/>
  <c r="X5" i="46"/>
  <c r="Y5" i="46"/>
  <c r="Z5" i="46"/>
  <c r="AA5" i="46"/>
  <c r="Q5" i="46"/>
  <c r="O12" i="46"/>
  <c r="P12" i="46"/>
  <c r="O11" i="46"/>
  <c r="P11" i="46"/>
  <c r="O10" i="46"/>
  <c r="P10" i="46"/>
  <c r="O9" i="46"/>
  <c r="P9" i="46"/>
  <c r="O8" i="46"/>
  <c r="P8" i="46"/>
  <c r="O7" i="46"/>
  <c r="P7" i="46"/>
  <c r="P6" i="46"/>
  <c r="O6" i="46"/>
  <c r="O5" i="46"/>
  <c r="P5" i="46"/>
  <c r="C96" i="1"/>
  <c r="E104" i="1"/>
  <c r="E96" i="1"/>
  <c r="D104" i="1"/>
  <c r="D96" i="1"/>
  <c r="C104" i="1"/>
  <c r="E87" i="1"/>
  <c r="D87" i="1"/>
  <c r="C87" i="1"/>
  <c r="B104" i="1"/>
  <c r="B96" i="1"/>
  <c r="B87" i="1"/>
  <c r="AZ10" i="45" l="1"/>
  <c r="AQ10" i="42"/>
  <c r="AR10" i="45"/>
  <c r="AS10" i="45"/>
  <c r="AO10" i="45"/>
  <c r="AT10" i="45"/>
  <c r="AU10" i="45"/>
  <c r="E26" i="44"/>
  <c r="BB10" i="45" s="1"/>
  <c r="D6" i="22"/>
  <c r="D7" i="22"/>
  <c r="E30" i="45"/>
  <c r="D14" i="45"/>
  <c r="J29" i="44"/>
  <c r="CX13" i="45"/>
  <c r="DB13" i="45"/>
  <c r="DF13" i="45"/>
  <c r="DA13" i="45"/>
  <c r="DE13" i="45"/>
  <c r="CW13" i="45"/>
  <c r="CZ13" i="45"/>
  <c r="DD13" i="45"/>
  <c r="DH13" i="45"/>
  <c r="CY13" i="45"/>
  <c r="DC13" i="45"/>
  <c r="DG13" i="45"/>
  <c r="AV10" i="45"/>
  <c r="AQ10" i="45"/>
  <c r="AX10" i="45"/>
  <c r="E27" i="45"/>
  <c r="J31" i="45"/>
  <c r="J30" i="44"/>
  <c r="DC14" i="45"/>
  <c r="CX14" i="45"/>
  <c r="DB14" i="45"/>
  <c r="DF14" i="45"/>
  <c r="DA14" i="45"/>
  <c r="DE14" i="45"/>
  <c r="CW14" i="45"/>
  <c r="CZ14" i="45"/>
  <c r="DD14" i="45"/>
  <c r="DH14" i="45"/>
  <c r="CY14" i="45"/>
  <c r="DG14" i="45"/>
  <c r="E29" i="45"/>
  <c r="AY10" i="45"/>
  <c r="AW10" i="45"/>
  <c r="E28" i="45"/>
  <c r="J32" i="45"/>
  <c r="AO9" i="45"/>
  <c r="AT9" i="45"/>
  <c r="E14" i="22"/>
  <c r="E107" i="1"/>
  <c r="AZ9" i="45"/>
  <c r="AP12" i="45"/>
  <c r="AT12" i="45"/>
  <c r="AX12" i="45"/>
  <c r="AS12" i="45"/>
  <c r="AW12" i="45"/>
  <c r="AO12" i="45"/>
  <c r="E28" i="44"/>
  <c r="AQ12" i="45"/>
  <c r="AU12" i="45"/>
  <c r="AY12" i="45"/>
  <c r="AR12" i="45"/>
  <c r="AZ12" i="45"/>
  <c r="AV12" i="45"/>
  <c r="E27" i="44"/>
  <c r="AP11" i="45"/>
  <c r="AT11" i="45"/>
  <c r="AX11" i="45"/>
  <c r="AS11" i="45"/>
  <c r="AW11" i="45"/>
  <c r="AO11" i="45"/>
  <c r="AQ11" i="45"/>
  <c r="AU11" i="45"/>
  <c r="AY11" i="45"/>
  <c r="AV11" i="45"/>
  <c r="AR11" i="45"/>
  <c r="AZ11" i="45"/>
  <c r="F18" i="22"/>
  <c r="E15" i="22"/>
  <c r="I17" i="22"/>
  <c r="AQ9" i="45"/>
  <c r="AP9" i="45"/>
  <c r="AW9" i="45"/>
  <c r="AX9" i="45"/>
  <c r="AU9" i="45"/>
  <c r="AR9" i="45"/>
  <c r="AY9" i="45"/>
  <c r="AV9" i="45"/>
  <c r="AS9" i="45"/>
  <c r="BE9" i="45"/>
  <c r="BI9" i="45"/>
  <c r="BA9" i="45"/>
  <c r="BD9" i="45"/>
  <c r="BH9" i="45"/>
  <c r="BL9" i="45"/>
  <c r="BC9" i="45"/>
  <c r="BG9" i="45"/>
  <c r="BK9" i="45"/>
  <c r="BB9" i="45"/>
  <c r="BF9" i="45"/>
  <c r="BJ9" i="45"/>
  <c r="D107" i="1"/>
  <c r="C107" i="1"/>
  <c r="C31" i="46"/>
  <c r="H10" i="44"/>
  <c r="BW31" i="28"/>
  <c r="CA31" i="28"/>
  <c r="CE31" i="28"/>
  <c r="BX31" i="28"/>
  <c r="CF31" i="28"/>
  <c r="BZ31" i="28"/>
  <c r="CD31" i="28"/>
  <c r="BV31" i="28"/>
  <c r="BY31" i="28"/>
  <c r="CC31" i="28"/>
  <c r="CG31" i="28"/>
  <c r="CB31" i="28"/>
  <c r="G41" i="28"/>
  <c r="C49" i="46"/>
  <c r="R23" i="46"/>
  <c r="AB23" i="46"/>
  <c r="AF23" i="46" s="1"/>
  <c r="AS5" i="46"/>
  <c r="AN18" i="46"/>
  <c r="AP18" i="46" s="1"/>
  <c r="AO5" i="46"/>
  <c r="AO9" i="46"/>
  <c r="AS7" i="46"/>
  <c r="AS11" i="46"/>
  <c r="AS9" i="46"/>
  <c r="AO7" i="46"/>
  <c r="AO11" i="46"/>
  <c r="AU5" i="46"/>
  <c r="AU7" i="46"/>
  <c r="AU9" i="46"/>
  <c r="AU11" i="46"/>
  <c r="AH16" i="46"/>
  <c r="T23" i="46"/>
  <c r="C40" i="46"/>
  <c r="C44" i="46"/>
  <c r="V23" i="46"/>
  <c r="C35" i="46"/>
  <c r="D31" i="46"/>
  <c r="AW6" i="46"/>
  <c r="AW8" i="46"/>
  <c r="AW10" i="46"/>
  <c r="AW12" i="46"/>
  <c r="AL18" i="46"/>
  <c r="Z23" i="46"/>
  <c r="AY6" i="46"/>
  <c r="AY8" i="46"/>
  <c r="AY10" i="46"/>
  <c r="C41" i="46"/>
  <c r="C45" i="46"/>
  <c r="AJ16" i="46"/>
  <c r="C37" i="46"/>
  <c r="AW5" i="46"/>
  <c r="AO6" i="46"/>
  <c r="AS6" i="46"/>
  <c r="AW7" i="46"/>
  <c r="AO8" i="46"/>
  <c r="AS8" i="46"/>
  <c r="AW9" i="46"/>
  <c r="AO10" i="46"/>
  <c r="AS10" i="46"/>
  <c r="AW11" i="46"/>
  <c r="AO12" i="46"/>
  <c r="AS12" i="46"/>
  <c r="C42" i="46"/>
  <c r="C46" i="46"/>
  <c r="AL16" i="46"/>
  <c r="AD16" i="46"/>
  <c r="AQ6" i="46"/>
  <c r="AQ8" i="46"/>
  <c r="AQ10" i="46"/>
  <c r="AY12" i="46"/>
  <c r="AQ12" i="46"/>
  <c r="AY5" i="46"/>
  <c r="AQ5" i="46"/>
  <c r="AU6" i="46"/>
  <c r="AY7" i="46"/>
  <c r="AQ7" i="46"/>
  <c r="AU8" i="46"/>
  <c r="AY9" i="46"/>
  <c r="AQ9" i="46"/>
  <c r="AU10" i="46"/>
  <c r="AY11" i="46"/>
  <c r="AQ11" i="46"/>
  <c r="AU12" i="46"/>
  <c r="C43" i="46"/>
  <c r="AN16" i="46"/>
  <c r="AP16" i="46" s="1"/>
  <c r="AF16" i="46"/>
  <c r="C48" i="46"/>
  <c r="X23" i="46"/>
  <c r="C36" i="46"/>
  <c r="AX5" i="46"/>
  <c r="AT5" i="46"/>
  <c r="AP5" i="46"/>
  <c r="AX6" i="46"/>
  <c r="AT6" i="46"/>
  <c r="AP6" i="46"/>
  <c r="AX7" i="46"/>
  <c r="AT7" i="46"/>
  <c r="AP7" i="46"/>
  <c r="AX8" i="46"/>
  <c r="AT8" i="46"/>
  <c r="AP8" i="46"/>
  <c r="AX9" i="46"/>
  <c r="AT9" i="46"/>
  <c r="AP9" i="46"/>
  <c r="AX10" i="46"/>
  <c r="AT10" i="46"/>
  <c r="AP10" i="46"/>
  <c r="AX11" i="46"/>
  <c r="AT11" i="46"/>
  <c r="AP11" i="46"/>
  <c r="AX12" i="46"/>
  <c r="AT12" i="46"/>
  <c r="AP12" i="46"/>
  <c r="C33" i="46"/>
  <c r="C32" i="46"/>
  <c r="C34" i="46"/>
  <c r="C38" i="46"/>
  <c r="AZ5" i="46"/>
  <c r="AV5" i="46"/>
  <c r="AZ6" i="46"/>
  <c r="AV6" i="46"/>
  <c r="AZ7" i="46"/>
  <c r="AV7" i="46"/>
  <c r="AZ8" i="46"/>
  <c r="AV8" i="46"/>
  <c r="AZ9" i="46"/>
  <c r="AV9" i="46"/>
  <c r="AZ10" i="46"/>
  <c r="AV10" i="46"/>
  <c r="AZ11" i="46"/>
  <c r="AV11" i="46"/>
  <c r="AZ12" i="46"/>
  <c r="AV12" i="46"/>
  <c r="AM14" i="46"/>
  <c r="AI14" i="46"/>
  <c r="AE14" i="46"/>
  <c r="AM15" i="46"/>
  <c r="AI15" i="46"/>
  <c r="AE15" i="46"/>
  <c r="AM16" i="46"/>
  <c r="AI16" i="46"/>
  <c r="AE16" i="46"/>
  <c r="AM17" i="46"/>
  <c r="AI17" i="46"/>
  <c r="AE17" i="46"/>
  <c r="AM18" i="46"/>
  <c r="AI18" i="46"/>
  <c r="AE18" i="46"/>
  <c r="AM19" i="46"/>
  <c r="AI19" i="46"/>
  <c r="AE19" i="46"/>
  <c r="AM20" i="46"/>
  <c r="AI20" i="46"/>
  <c r="AE20" i="46"/>
  <c r="Q22" i="46"/>
  <c r="Y22" i="46"/>
  <c r="U22" i="46"/>
  <c r="Q23" i="46"/>
  <c r="Y23" i="46"/>
  <c r="U23" i="46"/>
  <c r="AC23" i="46"/>
  <c r="AN14" i="46"/>
  <c r="AJ14" i="46"/>
  <c r="AF14" i="46"/>
  <c r="AN15" i="46"/>
  <c r="AJ15" i="46"/>
  <c r="AF15" i="46"/>
  <c r="AN17" i="46"/>
  <c r="AJ17" i="46"/>
  <c r="AF17" i="46"/>
  <c r="AJ18" i="46"/>
  <c r="AF18" i="46"/>
  <c r="AN19" i="46"/>
  <c r="AJ19" i="46"/>
  <c r="AF19" i="46"/>
  <c r="AN20" i="46"/>
  <c r="AJ20" i="46"/>
  <c r="AF20" i="46"/>
  <c r="Z22" i="46"/>
  <c r="V22" i="46"/>
  <c r="R22" i="46"/>
  <c r="AC14" i="46"/>
  <c r="AK14" i="46"/>
  <c r="AG14" i="46"/>
  <c r="AC15" i="46"/>
  <c r="AK15" i="46"/>
  <c r="AG15" i="46"/>
  <c r="AC16" i="46"/>
  <c r="AK16" i="46"/>
  <c r="AC17" i="46"/>
  <c r="AK17" i="46"/>
  <c r="AG17" i="46"/>
  <c r="AC18" i="46"/>
  <c r="AK18" i="46"/>
  <c r="AG18" i="46"/>
  <c r="AC19" i="46"/>
  <c r="AK19" i="46"/>
  <c r="AG19" i="46"/>
  <c r="AC20" i="46"/>
  <c r="AK20" i="46"/>
  <c r="AG20" i="46"/>
  <c r="AA22" i="46"/>
  <c r="W22" i="46"/>
  <c r="S22" i="46"/>
  <c r="AA23" i="46"/>
  <c r="W23" i="46"/>
  <c r="AL14" i="46"/>
  <c r="AH14" i="46"/>
  <c r="AL15" i="46"/>
  <c r="AH15" i="46"/>
  <c r="AL17" i="46"/>
  <c r="AH17" i="46"/>
  <c r="AH18" i="46"/>
  <c r="AL19" i="46"/>
  <c r="AH19" i="46"/>
  <c r="AL20" i="46"/>
  <c r="AH20" i="46"/>
  <c r="AB22" i="46"/>
  <c r="X22" i="46"/>
  <c r="B107" i="1"/>
  <c r="G68" i="18"/>
  <c r="H68" i="18"/>
  <c r="I68" i="18"/>
  <c r="J68" i="18"/>
  <c r="K68" i="18"/>
  <c r="L68" i="18"/>
  <c r="M68" i="18"/>
  <c r="N68" i="18"/>
  <c r="O68" i="18"/>
  <c r="P68" i="18"/>
  <c r="Q68" i="18"/>
  <c r="R68" i="18"/>
  <c r="S68" i="18"/>
  <c r="T68" i="18"/>
  <c r="U68" i="18"/>
  <c r="V68" i="18"/>
  <c r="W68" i="18"/>
  <c r="X68" i="18"/>
  <c r="Y68" i="18"/>
  <c r="Z68" i="18"/>
  <c r="AA68" i="18"/>
  <c r="AB68" i="18"/>
  <c r="AC68" i="18"/>
  <c r="AD68" i="18"/>
  <c r="AE68" i="18"/>
  <c r="AF68" i="18"/>
  <c r="AG68" i="18"/>
  <c r="AH68" i="18"/>
  <c r="AI68" i="18"/>
  <c r="AJ68" i="18"/>
  <c r="AK68" i="18"/>
  <c r="AL68" i="18"/>
  <c r="AM68" i="18"/>
  <c r="AN68" i="18"/>
  <c r="AO68" i="18"/>
  <c r="AP68" i="18"/>
  <c r="AQ68" i="18"/>
  <c r="AR68" i="18"/>
  <c r="AS68" i="18"/>
  <c r="AT68" i="18"/>
  <c r="AU68" i="18"/>
  <c r="AV68" i="18"/>
  <c r="AW68" i="18"/>
  <c r="AX68" i="18"/>
  <c r="AY68" i="18"/>
  <c r="AZ68" i="18"/>
  <c r="BA68" i="18"/>
  <c r="BB68" i="18"/>
  <c r="BC68" i="18"/>
  <c r="BD68" i="18"/>
  <c r="BE68" i="18"/>
  <c r="BF68" i="18"/>
  <c r="BG68" i="18"/>
  <c r="BH68" i="18"/>
  <c r="BI68" i="18"/>
  <c r="BJ68" i="18"/>
  <c r="BK68" i="18"/>
  <c r="BL68" i="18"/>
  <c r="BM68" i="18"/>
  <c r="BN68" i="18"/>
  <c r="BO68" i="18"/>
  <c r="BP68" i="18"/>
  <c r="BQ68" i="18"/>
  <c r="BR68" i="18"/>
  <c r="BS68" i="18"/>
  <c r="BT68" i="18"/>
  <c r="BU68" i="18"/>
  <c r="BV68" i="18"/>
  <c r="BW68" i="18"/>
  <c r="BX68" i="18"/>
  <c r="BY68" i="18"/>
  <c r="F68" i="18"/>
  <c r="G3" i="18"/>
  <c r="H3" i="18"/>
  <c r="I3" i="18"/>
  <c r="K3" i="18"/>
  <c r="L3" i="18"/>
  <c r="M3" i="18"/>
  <c r="N3" i="18"/>
  <c r="O3" i="18"/>
  <c r="P3" i="18"/>
  <c r="Q3" i="18"/>
  <c r="S3" i="18"/>
  <c r="T3" i="18"/>
  <c r="V3" i="18"/>
  <c r="W3" i="18"/>
  <c r="X3" i="18"/>
  <c r="Y3" i="18"/>
  <c r="Z3" i="18"/>
  <c r="AA3" i="18"/>
  <c r="AB3" i="18"/>
  <c r="AC3" i="18"/>
  <c r="AD3" i="18"/>
  <c r="AE3" i="18"/>
  <c r="AF3" i="18"/>
  <c r="AG3" i="18"/>
  <c r="AH3" i="18"/>
  <c r="AI3" i="18"/>
  <c r="AJ3" i="18"/>
  <c r="AK3" i="18"/>
  <c r="AL3" i="18"/>
  <c r="AM3" i="18"/>
  <c r="AN3" i="18"/>
  <c r="AO3" i="18"/>
  <c r="AP3" i="18"/>
  <c r="AQ3" i="18"/>
  <c r="AR3" i="18"/>
  <c r="AS3" i="18"/>
  <c r="AT3" i="18"/>
  <c r="AU3" i="18"/>
  <c r="AV3" i="18"/>
  <c r="AW3" i="18"/>
  <c r="AX3" i="18"/>
  <c r="AY3" i="18"/>
  <c r="AZ3" i="18"/>
  <c r="BA3" i="18"/>
  <c r="BB3" i="18"/>
  <c r="BC3" i="18"/>
  <c r="BD3" i="18"/>
  <c r="BE3" i="18"/>
  <c r="BF3" i="18"/>
  <c r="BG3" i="18"/>
  <c r="BH3" i="18"/>
  <c r="BI3" i="18"/>
  <c r="BJ3" i="18"/>
  <c r="BK3" i="18"/>
  <c r="BL3" i="18"/>
  <c r="BM3" i="18"/>
  <c r="BN3" i="18"/>
  <c r="BO3" i="18"/>
  <c r="BP3" i="18"/>
  <c r="BQ3" i="18"/>
  <c r="BR3" i="18"/>
  <c r="BS3" i="18"/>
  <c r="BT3" i="18"/>
  <c r="BU3" i="18"/>
  <c r="BV3" i="18"/>
  <c r="BW3" i="18"/>
  <c r="BX3" i="18"/>
  <c r="BY3" i="18"/>
  <c r="F3" i="18"/>
  <c r="BA10" i="45" l="1"/>
  <c r="BT73" i="18"/>
  <c r="BQ19" i="5" s="1"/>
  <c r="BQ18" i="5" s="1"/>
  <c r="BE10" i="45"/>
  <c r="BL73" i="18"/>
  <c r="BI19" i="5" s="1"/>
  <c r="BI18" i="5" s="1"/>
  <c r="BL74" i="18"/>
  <c r="BI5" i="5" s="1"/>
  <c r="BD73" i="18"/>
  <c r="BA19" i="5" s="1"/>
  <c r="BA18" i="5" s="1"/>
  <c r="BJ10" i="45"/>
  <c r="BD10" i="45"/>
  <c r="BF10" i="45"/>
  <c r="BH10" i="45"/>
  <c r="F26" i="44"/>
  <c r="BY73" i="18"/>
  <c r="BV19" i="5" s="1"/>
  <c r="BV18" i="5" s="1"/>
  <c r="BY74" i="18"/>
  <c r="BI73" i="18"/>
  <c r="BF19" i="5" s="1"/>
  <c r="BF18" i="5" s="1"/>
  <c r="BX73" i="18"/>
  <c r="BU19" i="5" s="1"/>
  <c r="BU18" i="5" s="1"/>
  <c r="BX74" i="18"/>
  <c r="BU5" i="5" s="1"/>
  <c r="BL10" i="45"/>
  <c r="BQ73" i="18"/>
  <c r="BN19" i="5" s="1"/>
  <c r="BN18" i="5" s="1"/>
  <c r="BQ74" i="18"/>
  <c r="BN5" i="5" s="1"/>
  <c r="BA73" i="18"/>
  <c r="AX19" i="5" s="1"/>
  <c r="AX18" i="5" s="1"/>
  <c r="BA74" i="18"/>
  <c r="BP73" i="18"/>
  <c r="BM19" i="5" s="1"/>
  <c r="BM18" i="5" s="1"/>
  <c r="BH73" i="18"/>
  <c r="BE19" i="5" s="1"/>
  <c r="BE18" i="5" s="1"/>
  <c r="BW73" i="18"/>
  <c r="BT19" i="5" s="1"/>
  <c r="BT18" i="5" s="1"/>
  <c r="BO73" i="18"/>
  <c r="BL19" i="5" s="1"/>
  <c r="BL18" i="5" s="1"/>
  <c r="BO74" i="18"/>
  <c r="BL5" i="5" s="1"/>
  <c r="BG73" i="18"/>
  <c r="BD19" i="5" s="1"/>
  <c r="BD18" i="5" s="1"/>
  <c r="BG74" i="18"/>
  <c r="BD5" i="5" s="1"/>
  <c r="BG10" i="45"/>
  <c r="BN74" i="18"/>
  <c r="BC10" i="45"/>
  <c r="BK10" i="45"/>
  <c r="BI10" i="45"/>
  <c r="BU73" i="18"/>
  <c r="BR19" i="5" s="1"/>
  <c r="BR18" i="5" s="1"/>
  <c r="BV73" i="18"/>
  <c r="BS19" i="5" s="1"/>
  <c r="BS18" i="5" s="1"/>
  <c r="BM73" i="18"/>
  <c r="BJ19" i="5" s="1"/>
  <c r="BJ18" i="5" s="1"/>
  <c r="BN73" i="18"/>
  <c r="BK19" i="5" s="1"/>
  <c r="BK18" i="5" s="1"/>
  <c r="BE73" i="18"/>
  <c r="BB19" i="5" s="1"/>
  <c r="BB18" i="5" s="1"/>
  <c r="BS73" i="18"/>
  <c r="BP19" i="5" s="1"/>
  <c r="BP18" i="5" s="1"/>
  <c r="BK73" i="18"/>
  <c r="BH19" i="5" s="1"/>
  <c r="BH18" i="5" s="1"/>
  <c r="BC73" i="18"/>
  <c r="AZ19" i="5" s="1"/>
  <c r="AZ18" i="5" s="1"/>
  <c r="BF73" i="18"/>
  <c r="BC19" i="5" s="1"/>
  <c r="BC18" i="5" s="1"/>
  <c r="F73" i="18"/>
  <c r="C19" i="5" s="1"/>
  <c r="C18" i="5" s="1"/>
  <c r="BR73" i="18"/>
  <c r="BO19" i="5" s="1"/>
  <c r="BO18" i="5" s="1"/>
  <c r="BJ73" i="18"/>
  <c r="BG19" i="5" s="1"/>
  <c r="BG18" i="5" s="1"/>
  <c r="BB73" i="18"/>
  <c r="AY19" i="5" s="1"/>
  <c r="AY18" i="5" s="1"/>
  <c r="AT10" i="42"/>
  <c r="F28" i="45"/>
  <c r="K29" i="44"/>
  <c r="DJ13" i="45"/>
  <c r="DN13" i="45"/>
  <c r="DR13" i="45"/>
  <c r="DM13" i="45"/>
  <c r="DQ13" i="45"/>
  <c r="DI13" i="45"/>
  <c r="DL13" i="45"/>
  <c r="DP13" i="45"/>
  <c r="DT13" i="45"/>
  <c r="DK13" i="45"/>
  <c r="DO13" i="45"/>
  <c r="DS13" i="45"/>
  <c r="F30" i="45"/>
  <c r="K32" i="45"/>
  <c r="K30" i="44"/>
  <c r="DK14" i="45"/>
  <c r="DO14" i="45"/>
  <c r="DJ14" i="45"/>
  <c r="DN14" i="45"/>
  <c r="DR14" i="45"/>
  <c r="DM14" i="45"/>
  <c r="DQ14" i="45"/>
  <c r="DI14" i="45"/>
  <c r="DL14" i="45"/>
  <c r="DP14" i="45"/>
  <c r="DT14" i="45"/>
  <c r="DS14" i="45"/>
  <c r="F27" i="45"/>
  <c r="F29" i="45"/>
  <c r="K31" i="45"/>
  <c r="E68" i="18"/>
  <c r="G27" i="45"/>
  <c r="F27" i="44"/>
  <c r="BB11" i="45"/>
  <c r="BF11" i="45"/>
  <c r="BJ11" i="45"/>
  <c r="BE11" i="45"/>
  <c r="BI11" i="45"/>
  <c r="BA11" i="45"/>
  <c r="BC11" i="45"/>
  <c r="BG11" i="45"/>
  <c r="BK11" i="45"/>
  <c r="BL11" i="45"/>
  <c r="BH11" i="45"/>
  <c r="BD11" i="45"/>
  <c r="G26" i="44"/>
  <c r="BN10" i="45"/>
  <c r="BR10" i="45"/>
  <c r="BV10" i="45"/>
  <c r="BQ10" i="45"/>
  <c r="BU10" i="45"/>
  <c r="BM10" i="45"/>
  <c r="BO10" i="45"/>
  <c r="BS10" i="45"/>
  <c r="BW10" i="45"/>
  <c r="BP10" i="45"/>
  <c r="BX10" i="45"/>
  <c r="BT10" i="45"/>
  <c r="F28" i="44"/>
  <c r="BB12" i="45"/>
  <c r="BF12" i="45"/>
  <c r="BJ12" i="45"/>
  <c r="BE12" i="45"/>
  <c r="BI12" i="45"/>
  <c r="BA12" i="45"/>
  <c r="BC12" i="45"/>
  <c r="BG12" i="45"/>
  <c r="BK12" i="45"/>
  <c r="BH12" i="45"/>
  <c r="BD12" i="45"/>
  <c r="BL12" i="45"/>
  <c r="BV5" i="5"/>
  <c r="BK5" i="5"/>
  <c r="BQ9" i="45"/>
  <c r="BU9" i="45"/>
  <c r="BM9" i="45"/>
  <c r="BP9" i="45"/>
  <c r="BT9" i="45"/>
  <c r="BX9" i="45"/>
  <c r="BO9" i="45"/>
  <c r="BS9" i="45"/>
  <c r="BW9" i="45"/>
  <c r="BN9" i="45"/>
  <c r="BR9" i="45"/>
  <c r="BV9" i="45"/>
  <c r="AD23" i="46"/>
  <c r="AE23" i="46"/>
  <c r="AN23" i="46"/>
  <c r="AQ23" i="46" s="1"/>
  <c r="AM23" i="46"/>
  <c r="AJ23" i="46"/>
  <c r="AI23" i="46"/>
  <c r="AL23" i="46"/>
  <c r="AR16" i="46"/>
  <c r="AT16" i="46"/>
  <c r="AS16" i="46"/>
  <c r="AG23" i="46"/>
  <c r="H41" i="28"/>
  <c r="CI31" i="28"/>
  <c r="CM31" i="28"/>
  <c r="CQ31" i="28"/>
  <c r="I10" i="44"/>
  <c r="CN31" i="28"/>
  <c r="CL31" i="28"/>
  <c r="CP31" i="28"/>
  <c r="CH31" i="28"/>
  <c r="CK31" i="28"/>
  <c r="CO31" i="28"/>
  <c r="CS31" i="28"/>
  <c r="CJ31" i="28"/>
  <c r="CR31" i="28"/>
  <c r="AQ16" i="46"/>
  <c r="AH23" i="46"/>
  <c r="AK23" i="46"/>
  <c r="AO18" i="46"/>
  <c r="AZ18" i="46"/>
  <c r="BF18" i="46" s="1"/>
  <c r="AY18" i="46"/>
  <c r="AX18" i="46"/>
  <c r="AT18" i="46"/>
  <c r="AW18" i="46"/>
  <c r="AO16" i="46"/>
  <c r="AV18" i="46"/>
  <c r="AZ16" i="46"/>
  <c r="BF16" i="46" s="1"/>
  <c r="AU18" i="46"/>
  <c r="AY16" i="46"/>
  <c r="AX16" i="46"/>
  <c r="AS18" i="46"/>
  <c r="AW16" i="46"/>
  <c r="AR18" i="46"/>
  <c r="AV16" i="46"/>
  <c r="AQ18" i="46"/>
  <c r="AU16" i="46"/>
  <c r="AP20" i="46"/>
  <c r="AT20" i="46"/>
  <c r="AX20" i="46"/>
  <c r="AS20" i="46"/>
  <c r="AW20" i="46"/>
  <c r="AO20" i="46"/>
  <c r="AR20" i="46"/>
  <c r="AV20" i="46"/>
  <c r="AZ20" i="46"/>
  <c r="AQ20" i="46"/>
  <c r="AU20" i="46"/>
  <c r="AY20" i="46"/>
  <c r="AP17" i="46"/>
  <c r="AT17" i="46"/>
  <c r="AX17" i="46"/>
  <c r="AS17" i="46"/>
  <c r="AW17" i="46"/>
  <c r="AO17" i="46"/>
  <c r="AR17" i="46"/>
  <c r="AV17" i="46"/>
  <c r="AZ17" i="46"/>
  <c r="AQ17" i="46"/>
  <c r="AU17" i="46"/>
  <c r="AY17" i="46"/>
  <c r="BE12" i="46"/>
  <c r="BI12" i="46"/>
  <c r="BA12" i="46"/>
  <c r="BD12" i="46"/>
  <c r="BH12" i="46"/>
  <c r="BL12" i="46"/>
  <c r="BC12" i="46"/>
  <c r="BG12" i="46"/>
  <c r="BK12" i="46"/>
  <c r="BB12" i="46"/>
  <c r="BF12" i="46"/>
  <c r="BJ12" i="46"/>
  <c r="BE10" i="46"/>
  <c r="BI10" i="46"/>
  <c r="BA10" i="46"/>
  <c r="BD10" i="46"/>
  <c r="BH10" i="46"/>
  <c r="BL10" i="46"/>
  <c r="BC10" i="46"/>
  <c r="BG10" i="46"/>
  <c r="BK10" i="46"/>
  <c r="BB10" i="46"/>
  <c r="BF10" i="46"/>
  <c r="BJ10" i="46"/>
  <c r="BE8" i="46"/>
  <c r="BI8" i="46"/>
  <c r="BA8" i="46"/>
  <c r="BD8" i="46"/>
  <c r="BH8" i="46"/>
  <c r="BL8" i="46"/>
  <c r="BC8" i="46"/>
  <c r="BG8" i="46"/>
  <c r="BK8" i="46"/>
  <c r="BB8" i="46"/>
  <c r="BF8" i="46"/>
  <c r="BJ8" i="46"/>
  <c r="BE6" i="46"/>
  <c r="BI6" i="46"/>
  <c r="BA6" i="46"/>
  <c r="BD6" i="46"/>
  <c r="BH6" i="46"/>
  <c r="BL6" i="46"/>
  <c r="BC6" i="46"/>
  <c r="BG6" i="46"/>
  <c r="BK6" i="46"/>
  <c r="BB6" i="46"/>
  <c r="BF6" i="46"/>
  <c r="BJ6" i="46"/>
  <c r="AP19" i="46"/>
  <c r="AT19" i="46"/>
  <c r="AX19" i="46"/>
  <c r="AS19" i="46"/>
  <c r="AW19" i="46"/>
  <c r="AO19" i="46"/>
  <c r="AR19" i="46"/>
  <c r="AV19" i="46"/>
  <c r="AZ19" i="46"/>
  <c r="AQ19" i="46"/>
  <c r="AU19" i="46"/>
  <c r="AY19" i="46"/>
  <c r="AP15" i="46"/>
  <c r="AT15" i="46"/>
  <c r="AX15" i="46"/>
  <c r="AS15" i="46"/>
  <c r="AW15" i="46"/>
  <c r="AO15" i="46"/>
  <c r="AR15" i="46"/>
  <c r="AV15" i="46"/>
  <c r="AZ15" i="46"/>
  <c r="AQ15" i="46"/>
  <c r="AU15" i="46"/>
  <c r="AY15" i="46"/>
  <c r="AP14" i="46"/>
  <c r="AT14" i="46"/>
  <c r="AX14" i="46"/>
  <c r="AS14" i="46"/>
  <c r="AW14" i="46"/>
  <c r="AO14" i="46"/>
  <c r="AR14" i="46"/>
  <c r="AV14" i="46"/>
  <c r="AZ14" i="46"/>
  <c r="AQ14" i="46"/>
  <c r="AU14" i="46"/>
  <c r="AY14" i="46"/>
  <c r="BE11" i="46"/>
  <c r="BI11" i="46"/>
  <c r="BA11" i="46"/>
  <c r="BD11" i="46"/>
  <c r="BH11" i="46"/>
  <c r="BL11" i="46"/>
  <c r="BC11" i="46"/>
  <c r="BG11" i="46"/>
  <c r="BK11" i="46"/>
  <c r="BB11" i="46"/>
  <c r="BF11" i="46"/>
  <c r="BJ11" i="46"/>
  <c r="BE9" i="46"/>
  <c r="BI9" i="46"/>
  <c r="BA9" i="46"/>
  <c r="BD9" i="46"/>
  <c r="BH9" i="46"/>
  <c r="BL9" i="46"/>
  <c r="BC9" i="46"/>
  <c r="BG9" i="46"/>
  <c r="BK9" i="46"/>
  <c r="BB9" i="46"/>
  <c r="BF9" i="46"/>
  <c r="BJ9" i="46"/>
  <c r="BE7" i="46"/>
  <c r="BI7" i="46"/>
  <c r="BA7" i="46"/>
  <c r="BD7" i="46"/>
  <c r="BH7" i="46"/>
  <c r="BL7" i="46"/>
  <c r="BC7" i="46"/>
  <c r="BG7" i="46"/>
  <c r="BK7" i="46"/>
  <c r="BB7" i="46"/>
  <c r="BF7" i="46"/>
  <c r="BJ7" i="46"/>
  <c r="BE5" i="46"/>
  <c r="BI5" i="46"/>
  <c r="BA5" i="46"/>
  <c r="BD5" i="46"/>
  <c r="BH5" i="46"/>
  <c r="BL5" i="46"/>
  <c r="BC5" i="46"/>
  <c r="BG5" i="46"/>
  <c r="BK5" i="46"/>
  <c r="BB5" i="46"/>
  <c r="BF5" i="46"/>
  <c r="BJ5" i="46"/>
  <c r="AF22" i="46"/>
  <c r="AJ22" i="46"/>
  <c r="AN22" i="46"/>
  <c r="AE22" i="46"/>
  <c r="AI22" i="46"/>
  <c r="AM22" i="46"/>
  <c r="AD22" i="46"/>
  <c r="AH22" i="46"/>
  <c r="AL22" i="46"/>
  <c r="AG22" i="46"/>
  <c r="AK22" i="46"/>
  <c r="AC22" i="46"/>
  <c r="E67" i="18"/>
  <c r="E66" i="18"/>
  <c r="E65" i="18"/>
  <c r="E49" i="18"/>
  <c r="BU74" i="18" l="1"/>
  <c r="BR5" i="5" s="1"/>
  <c r="BM74" i="18"/>
  <c r="BJ5" i="5" s="1"/>
  <c r="BH74" i="18"/>
  <c r="BE5" i="5" s="1"/>
  <c r="BT74" i="18"/>
  <c r="BQ5" i="5" s="1"/>
  <c r="BW74" i="18"/>
  <c r="BT5" i="5" s="1"/>
  <c r="BP74" i="18"/>
  <c r="BM5" i="5" s="1"/>
  <c r="F74" i="18"/>
  <c r="BF74" i="18"/>
  <c r="BC5" i="5" s="1"/>
  <c r="BJ74" i="18"/>
  <c r="BG5" i="5" s="1"/>
  <c r="BI74" i="18"/>
  <c r="BF5" i="5" s="1"/>
  <c r="BD74" i="18"/>
  <c r="BA5" i="5" s="1"/>
  <c r="BV74" i="18"/>
  <c r="BS5" i="5" s="1"/>
  <c r="BB74" i="18"/>
  <c r="AY5" i="5" s="1"/>
  <c r="BC74" i="18"/>
  <c r="AZ5" i="5" s="1"/>
  <c r="BE74" i="18"/>
  <c r="BB5" i="5" s="1"/>
  <c r="BK74" i="18"/>
  <c r="BH5" i="5" s="1"/>
  <c r="BR74" i="18"/>
  <c r="BO5" i="5" s="1"/>
  <c r="BS74" i="18"/>
  <c r="BP5" i="5" s="1"/>
  <c r="G28" i="45"/>
  <c r="AR23" i="46"/>
  <c r="AW10" i="42"/>
  <c r="H28" i="45"/>
  <c r="DW14" i="45"/>
  <c r="EA14" i="45"/>
  <c r="EE14" i="45"/>
  <c r="DV14" i="45"/>
  <c r="DZ14" i="45"/>
  <c r="ED14" i="45"/>
  <c r="DY14" i="45"/>
  <c r="EC14" i="45"/>
  <c r="DU14" i="45"/>
  <c r="DX14" i="45"/>
  <c r="EB14" i="45"/>
  <c r="EF14" i="45"/>
  <c r="G30" i="45"/>
  <c r="L32" i="45"/>
  <c r="DV13" i="45"/>
  <c r="DZ13" i="45"/>
  <c r="ED13" i="45"/>
  <c r="DY13" i="45"/>
  <c r="EC13" i="45"/>
  <c r="DU13" i="45"/>
  <c r="DX13" i="45"/>
  <c r="EB13" i="45"/>
  <c r="EF13" i="45"/>
  <c r="DW13" i="45"/>
  <c r="EA13" i="45"/>
  <c r="EE13" i="45"/>
  <c r="L31" i="45"/>
  <c r="H27" i="45"/>
  <c r="G29" i="45"/>
  <c r="G27" i="44"/>
  <c r="BN11" i="45"/>
  <c r="BR11" i="45"/>
  <c r="BV11" i="45"/>
  <c r="BQ11" i="45"/>
  <c r="BU11" i="45"/>
  <c r="BM11" i="45"/>
  <c r="BO11" i="45"/>
  <c r="BS11" i="45"/>
  <c r="BW11" i="45"/>
  <c r="BX11" i="45"/>
  <c r="BT11" i="45"/>
  <c r="BP11" i="45"/>
  <c r="H26" i="44"/>
  <c r="BZ10" i="45"/>
  <c r="CD10" i="45"/>
  <c r="CH10" i="45"/>
  <c r="CC10" i="45"/>
  <c r="CG10" i="45"/>
  <c r="BY10" i="45"/>
  <c r="CA10" i="45"/>
  <c r="CE10" i="45"/>
  <c r="CI10" i="45"/>
  <c r="CF10" i="45"/>
  <c r="CB10" i="45"/>
  <c r="CJ10" i="45"/>
  <c r="G28" i="44"/>
  <c r="BN12" i="45"/>
  <c r="BR12" i="45"/>
  <c r="BV12" i="45"/>
  <c r="BQ12" i="45"/>
  <c r="BU12" i="45"/>
  <c r="BM12" i="45"/>
  <c r="BO12" i="45"/>
  <c r="BS12" i="45"/>
  <c r="BW12" i="45"/>
  <c r="BX12" i="45"/>
  <c r="BT12" i="45"/>
  <c r="BP12" i="45"/>
  <c r="AA65" i="18"/>
  <c r="Z65" i="18"/>
  <c r="AA66" i="18"/>
  <c r="Z66" i="18"/>
  <c r="AA49" i="18"/>
  <c r="Z49" i="18"/>
  <c r="AA67" i="18"/>
  <c r="Z67" i="18"/>
  <c r="CC9" i="45"/>
  <c r="CG9" i="45"/>
  <c r="BY9" i="45"/>
  <c r="CB9" i="45"/>
  <c r="CF9" i="45"/>
  <c r="CJ9" i="45"/>
  <c r="CA9" i="45"/>
  <c r="CE9" i="45"/>
  <c r="CI9" i="45"/>
  <c r="BZ9" i="45"/>
  <c r="CD9" i="45"/>
  <c r="CH9" i="45"/>
  <c r="BD18" i="46"/>
  <c r="BH18" i="46"/>
  <c r="AX23" i="46"/>
  <c r="AZ23" i="46"/>
  <c r="BD23" i="46" s="1"/>
  <c r="AU23" i="46"/>
  <c r="AW23" i="46"/>
  <c r="AP23" i="46"/>
  <c r="AS23" i="46"/>
  <c r="AY23" i="46"/>
  <c r="AV23" i="46"/>
  <c r="AO23" i="46"/>
  <c r="AT23" i="46"/>
  <c r="CU31" i="28"/>
  <c r="CY31" i="28"/>
  <c r="DC31" i="28"/>
  <c r="CV31" i="28"/>
  <c r="DD31" i="28"/>
  <c r="CX31" i="28"/>
  <c r="DB31" i="28"/>
  <c r="CT31" i="28"/>
  <c r="J10" i="44"/>
  <c r="CW31" i="28"/>
  <c r="DA31" i="28"/>
  <c r="DE31" i="28"/>
  <c r="CZ31" i="28"/>
  <c r="I41" i="28"/>
  <c r="BG18" i="46"/>
  <c r="BJ18" i="46"/>
  <c r="BK18" i="46"/>
  <c r="BE18" i="46"/>
  <c r="BJ16" i="46"/>
  <c r="BL18" i="46"/>
  <c r="BR18" i="46" s="1"/>
  <c r="BI18" i="46"/>
  <c r="BB18" i="46"/>
  <c r="BC16" i="46"/>
  <c r="BC18" i="46"/>
  <c r="BA18" i="46"/>
  <c r="BG16" i="46"/>
  <c r="BI16" i="46"/>
  <c r="BD16" i="46"/>
  <c r="BL16" i="46"/>
  <c r="BN16" i="46" s="1"/>
  <c r="BB16" i="46"/>
  <c r="BK16" i="46"/>
  <c r="BH16" i="46"/>
  <c r="BE16" i="46"/>
  <c r="BA16" i="46"/>
  <c r="BB14" i="46"/>
  <c r="BF14" i="46"/>
  <c r="BJ14" i="46"/>
  <c r="BE14" i="46"/>
  <c r="BI14" i="46"/>
  <c r="BA14" i="46"/>
  <c r="BD14" i="46"/>
  <c r="BH14" i="46"/>
  <c r="BL14" i="46"/>
  <c r="BC14" i="46"/>
  <c r="BG14" i="46"/>
  <c r="BK14" i="46"/>
  <c r="BB15" i="46"/>
  <c r="BF15" i="46"/>
  <c r="BJ15" i="46"/>
  <c r="BE15" i="46"/>
  <c r="BI15" i="46"/>
  <c r="BA15" i="46"/>
  <c r="BD15" i="46"/>
  <c r="BH15" i="46"/>
  <c r="BL15" i="46"/>
  <c r="BC15" i="46"/>
  <c r="BG15" i="46"/>
  <c r="BK15" i="46"/>
  <c r="BB19" i="46"/>
  <c r="BF19" i="46"/>
  <c r="BJ19" i="46"/>
  <c r="BE19" i="46"/>
  <c r="BI19" i="46"/>
  <c r="BA19" i="46"/>
  <c r="BD19" i="46"/>
  <c r="BH19" i="46"/>
  <c r="BL19" i="46"/>
  <c r="BC19" i="46"/>
  <c r="BG19" i="46"/>
  <c r="BK19" i="46"/>
  <c r="BB17" i="46"/>
  <c r="BF17" i="46"/>
  <c r="BJ17" i="46"/>
  <c r="BE17" i="46"/>
  <c r="BI17" i="46"/>
  <c r="BA17" i="46"/>
  <c r="BD17" i="46"/>
  <c r="BH17" i="46"/>
  <c r="BL17" i="46"/>
  <c r="BC17" i="46"/>
  <c r="BG17" i="46"/>
  <c r="BK17" i="46"/>
  <c r="BB20" i="46"/>
  <c r="BF20" i="46"/>
  <c r="BJ20" i="46"/>
  <c r="BE20" i="46"/>
  <c r="BI20" i="46"/>
  <c r="BA20" i="46"/>
  <c r="BD20" i="46"/>
  <c r="BH20" i="46"/>
  <c r="BL20" i="46"/>
  <c r="BC20" i="46"/>
  <c r="BG20" i="46"/>
  <c r="BK20" i="46"/>
  <c r="BQ5" i="46"/>
  <c r="BU5" i="46"/>
  <c r="BM5" i="46"/>
  <c r="BP5" i="46"/>
  <c r="BT5" i="46"/>
  <c r="BX5" i="46"/>
  <c r="BO5" i="46"/>
  <c r="BS5" i="46"/>
  <c r="BW5" i="46"/>
  <c r="BN5" i="46"/>
  <c r="BR5" i="46"/>
  <c r="BV5" i="46"/>
  <c r="BQ6" i="46"/>
  <c r="BU6" i="46"/>
  <c r="BM6" i="46"/>
  <c r="BP6" i="46"/>
  <c r="BT6" i="46"/>
  <c r="BX6" i="46"/>
  <c r="BO6" i="46"/>
  <c r="BS6" i="46"/>
  <c r="BW6" i="46"/>
  <c r="BN6" i="46"/>
  <c r="BR6" i="46"/>
  <c r="BV6" i="46"/>
  <c r="BQ8" i="46"/>
  <c r="BU8" i="46"/>
  <c r="BM8" i="46"/>
  <c r="BP8" i="46"/>
  <c r="BT8" i="46"/>
  <c r="BX8" i="46"/>
  <c r="BO8" i="46"/>
  <c r="BS8" i="46"/>
  <c r="BW8" i="46"/>
  <c r="BN8" i="46"/>
  <c r="BR8" i="46"/>
  <c r="BV8" i="46"/>
  <c r="BQ10" i="46"/>
  <c r="BU10" i="46"/>
  <c r="BM10" i="46"/>
  <c r="BP10" i="46"/>
  <c r="BT10" i="46"/>
  <c r="BX10" i="46"/>
  <c r="BO10" i="46"/>
  <c r="BS10" i="46"/>
  <c r="BW10" i="46"/>
  <c r="BN10" i="46"/>
  <c r="BR10" i="46"/>
  <c r="BV10" i="46"/>
  <c r="BQ12" i="46"/>
  <c r="BU12" i="46"/>
  <c r="BM12" i="46"/>
  <c r="BP12" i="46"/>
  <c r="BT12" i="46"/>
  <c r="BX12" i="46"/>
  <c r="BO12" i="46"/>
  <c r="BS12" i="46"/>
  <c r="BW12" i="46"/>
  <c r="BN12" i="46"/>
  <c r="BR12" i="46"/>
  <c r="BV12" i="46"/>
  <c r="BQ7" i="46"/>
  <c r="BU7" i="46"/>
  <c r="BM7" i="46"/>
  <c r="BP7" i="46"/>
  <c r="BT7" i="46"/>
  <c r="BX7" i="46"/>
  <c r="BO7" i="46"/>
  <c r="BS7" i="46"/>
  <c r="BW7" i="46"/>
  <c r="BN7" i="46"/>
  <c r="BR7" i="46"/>
  <c r="BV7" i="46"/>
  <c r="BQ9" i="46"/>
  <c r="BU9" i="46"/>
  <c r="BM9" i="46"/>
  <c r="BP9" i="46"/>
  <c r="BT9" i="46"/>
  <c r="BX9" i="46"/>
  <c r="BO9" i="46"/>
  <c r="BS9" i="46"/>
  <c r="BW9" i="46"/>
  <c r="BN9" i="46"/>
  <c r="BR9" i="46"/>
  <c r="BV9" i="46"/>
  <c r="BQ11" i="46"/>
  <c r="BU11" i="46"/>
  <c r="BM11" i="46"/>
  <c r="BP11" i="46"/>
  <c r="BT11" i="46"/>
  <c r="BX11" i="46"/>
  <c r="BO11" i="46"/>
  <c r="BS11" i="46"/>
  <c r="BW11" i="46"/>
  <c r="BN11" i="46"/>
  <c r="BR11" i="46"/>
  <c r="BV11" i="46"/>
  <c r="AR22" i="46"/>
  <c r="AV22" i="46"/>
  <c r="AZ22" i="46"/>
  <c r="AQ22" i="46"/>
  <c r="AU22" i="46"/>
  <c r="AY22" i="46"/>
  <c r="AP22" i="46"/>
  <c r="AT22" i="46"/>
  <c r="AX22" i="46"/>
  <c r="AS22" i="46"/>
  <c r="AW22" i="46"/>
  <c r="AO22" i="46"/>
  <c r="E54" i="18"/>
  <c r="E55" i="18"/>
  <c r="E56" i="18"/>
  <c r="E57" i="18"/>
  <c r="E58" i="18"/>
  <c r="E59" i="18"/>
  <c r="E60" i="18"/>
  <c r="E61" i="18"/>
  <c r="E62" i="18"/>
  <c r="E63" i="18"/>
  <c r="E64" i="18"/>
  <c r="E42" i="18"/>
  <c r="Q42" i="18" s="1"/>
  <c r="E43" i="18"/>
  <c r="E44" i="18"/>
  <c r="E45" i="18"/>
  <c r="E46" i="18"/>
  <c r="E47" i="18"/>
  <c r="E48" i="18"/>
  <c r="E50" i="18"/>
  <c r="E51" i="18"/>
  <c r="E52" i="18"/>
  <c r="E53" i="18"/>
  <c r="E41" i="18"/>
  <c r="Q41" i="18" s="1"/>
  <c r="S9" i="18"/>
  <c r="AF11" i="18"/>
  <c r="AC20" i="5" s="1"/>
  <c r="E74" i="5" s="1"/>
  <c r="AF10" i="18"/>
  <c r="R8" i="18"/>
  <c r="R6" i="18" s="1"/>
  <c r="E5" i="18"/>
  <c r="J5" i="18" s="1"/>
  <c r="J3" i="18" s="1"/>
  <c r="E4" i="18"/>
  <c r="R4" i="18" s="1"/>
  <c r="E49" i="46"/>
  <c r="N21" i="46"/>
  <c r="N13" i="46"/>
  <c r="Z8" i="22" s="1"/>
  <c r="N4" i="46"/>
  <c r="Z15" i="45" s="1"/>
  <c r="Z16" i="45" s="1"/>
  <c r="O21" i="46"/>
  <c r="C4" i="31"/>
  <c r="C5" i="31"/>
  <c r="C6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" i="31"/>
  <c r="B49" i="46"/>
  <c r="B6" i="44"/>
  <c r="B7" i="44"/>
  <c r="B8" i="44"/>
  <c r="B9" i="44"/>
  <c r="B5" i="44"/>
  <c r="A6" i="44"/>
  <c r="A7" i="44"/>
  <c r="A8" i="44"/>
  <c r="A9" i="44"/>
  <c r="F21" i="46"/>
  <c r="G21" i="46"/>
  <c r="H21" i="46"/>
  <c r="I21" i="46"/>
  <c r="J21" i="46"/>
  <c r="K21" i="46"/>
  <c r="L21" i="46"/>
  <c r="M21" i="46"/>
  <c r="C21" i="46"/>
  <c r="C4" i="46"/>
  <c r="C13" i="46"/>
  <c r="E34" i="1"/>
  <c r="D31" i="1" s="1"/>
  <c r="AZ10" i="42" l="1"/>
  <c r="M32" i="45"/>
  <c r="I28" i="45"/>
  <c r="H30" i="45"/>
  <c r="I27" i="45"/>
  <c r="H29" i="45"/>
  <c r="M31" i="45"/>
  <c r="S6" i="18"/>
  <c r="BC23" i="46"/>
  <c r="AF6" i="18"/>
  <c r="U3" i="18"/>
  <c r="R3" i="18"/>
  <c r="H27" i="44"/>
  <c r="BZ11" i="45"/>
  <c r="CD11" i="45"/>
  <c r="CH11" i="45"/>
  <c r="CC11" i="45"/>
  <c r="CG11" i="45"/>
  <c r="BY11" i="45"/>
  <c r="CA11" i="45"/>
  <c r="CE11" i="45"/>
  <c r="CI11" i="45"/>
  <c r="CB11" i="45"/>
  <c r="CJ11" i="45"/>
  <c r="CF11" i="45"/>
  <c r="I26" i="44"/>
  <c r="CL10" i="45"/>
  <c r="CP10" i="45"/>
  <c r="CT10" i="45"/>
  <c r="CO10" i="45"/>
  <c r="CS10" i="45"/>
  <c r="CK10" i="45"/>
  <c r="CM10" i="45"/>
  <c r="CQ10" i="45"/>
  <c r="CU10" i="45"/>
  <c r="CV10" i="45"/>
  <c r="CR10" i="45"/>
  <c r="CN10" i="45"/>
  <c r="H28" i="44"/>
  <c r="BZ12" i="45"/>
  <c r="CD12" i="45"/>
  <c r="CH12" i="45"/>
  <c r="CC12" i="45"/>
  <c r="CG12" i="45"/>
  <c r="BY12" i="45"/>
  <c r="CA12" i="45"/>
  <c r="CE12" i="45"/>
  <c r="CI12" i="45"/>
  <c r="CJ12" i="45"/>
  <c r="CF12" i="45"/>
  <c r="CB12" i="45"/>
  <c r="Z14" i="18"/>
  <c r="AA47" i="18"/>
  <c r="Z47" i="18"/>
  <c r="AA58" i="18"/>
  <c r="Z58" i="18"/>
  <c r="AA53" i="18"/>
  <c r="Z53" i="18"/>
  <c r="AA59" i="18"/>
  <c r="Z59" i="18"/>
  <c r="AA50" i="18"/>
  <c r="Z50" i="18"/>
  <c r="AA45" i="18"/>
  <c r="Z45" i="18"/>
  <c r="AA64" i="18"/>
  <c r="Z64" i="18"/>
  <c r="AA60" i="18"/>
  <c r="Z60" i="18"/>
  <c r="AA56" i="18"/>
  <c r="Z56" i="18"/>
  <c r="AA52" i="18"/>
  <c r="Z52" i="18"/>
  <c r="AA43" i="18"/>
  <c r="Z43" i="18"/>
  <c r="AA62" i="18"/>
  <c r="Z62" i="18"/>
  <c r="AA54" i="18"/>
  <c r="Z54" i="18"/>
  <c r="AA48" i="18"/>
  <c r="Z48" i="18"/>
  <c r="Z44" i="18"/>
  <c r="AA44" i="18"/>
  <c r="AA63" i="18"/>
  <c r="Z63" i="18"/>
  <c r="AA55" i="18"/>
  <c r="Z55" i="18"/>
  <c r="AA51" i="18"/>
  <c r="Z51" i="18"/>
  <c r="AA46" i="18"/>
  <c r="Z46" i="18"/>
  <c r="AA61" i="18"/>
  <c r="Z61" i="18"/>
  <c r="AA57" i="18"/>
  <c r="Z57" i="18"/>
  <c r="CO9" i="45"/>
  <c r="CS9" i="45"/>
  <c r="CK9" i="45"/>
  <c r="CN9" i="45"/>
  <c r="CR9" i="45"/>
  <c r="CV9" i="45"/>
  <c r="CM9" i="45"/>
  <c r="CQ9" i="45"/>
  <c r="CU9" i="45"/>
  <c r="CL9" i="45"/>
  <c r="CP9" i="45"/>
  <c r="CT9" i="45"/>
  <c r="BH23" i="46"/>
  <c r="BK23" i="46"/>
  <c r="BA23" i="46"/>
  <c r="BE23" i="46"/>
  <c r="BI23" i="46"/>
  <c r="BB23" i="46"/>
  <c r="BL23" i="46"/>
  <c r="BF23" i="46"/>
  <c r="BJ23" i="46"/>
  <c r="BG23" i="46"/>
  <c r="DG31" i="28"/>
  <c r="DK31" i="28"/>
  <c r="DO31" i="28"/>
  <c r="DH31" i="28"/>
  <c r="DP31" i="28"/>
  <c r="K10" i="44"/>
  <c r="DJ31" i="28"/>
  <c r="DN31" i="28"/>
  <c r="DF31" i="28"/>
  <c r="DI31" i="28"/>
  <c r="DM31" i="28"/>
  <c r="DQ31" i="28"/>
  <c r="DL31" i="28"/>
  <c r="J41" i="28"/>
  <c r="BR16" i="46"/>
  <c r="BO16" i="46"/>
  <c r="C5" i="44"/>
  <c r="Y26" i="28"/>
  <c r="C6" i="44"/>
  <c r="Y27" i="28"/>
  <c r="C37" i="28" s="1"/>
  <c r="C7" i="44"/>
  <c r="Y28" i="28"/>
  <c r="C38" i="28" s="1"/>
  <c r="C8" i="44"/>
  <c r="Y29" i="28"/>
  <c r="C39" i="28" s="1"/>
  <c r="BQ18" i="46"/>
  <c r="C9" i="44"/>
  <c r="Y30" i="28"/>
  <c r="C40" i="28" s="1"/>
  <c r="BX18" i="46"/>
  <c r="CC18" i="46" s="1"/>
  <c r="BT18" i="46"/>
  <c r="BM16" i="46"/>
  <c r="BS18" i="46"/>
  <c r="BV18" i="46"/>
  <c r="BU18" i="46"/>
  <c r="BW18" i="46"/>
  <c r="BP18" i="46"/>
  <c r="BN18" i="46"/>
  <c r="BS16" i="46"/>
  <c r="BV16" i="46"/>
  <c r="BO18" i="46"/>
  <c r="BM18" i="46"/>
  <c r="BP16" i="46"/>
  <c r="BW16" i="46"/>
  <c r="BT16" i="46"/>
  <c r="BQ16" i="46"/>
  <c r="BX16" i="46"/>
  <c r="BZ16" i="46" s="1"/>
  <c r="BU16" i="46"/>
  <c r="BN20" i="46"/>
  <c r="BR20" i="46"/>
  <c r="BV20" i="46"/>
  <c r="BQ20" i="46"/>
  <c r="BU20" i="46"/>
  <c r="BM20" i="46"/>
  <c r="BP20" i="46"/>
  <c r="BT20" i="46"/>
  <c r="BX20" i="46"/>
  <c r="BO20" i="46"/>
  <c r="BS20" i="46"/>
  <c r="BW20" i="46"/>
  <c r="BN17" i="46"/>
  <c r="BR17" i="46"/>
  <c r="BV17" i="46"/>
  <c r="BQ17" i="46"/>
  <c r="BU17" i="46"/>
  <c r="BM17" i="46"/>
  <c r="BP17" i="46"/>
  <c r="BT17" i="46"/>
  <c r="BX17" i="46"/>
  <c r="BO17" i="46"/>
  <c r="BS17" i="46"/>
  <c r="BW17" i="46"/>
  <c r="BN19" i="46"/>
  <c r="BR19" i="46"/>
  <c r="BV19" i="46"/>
  <c r="BQ19" i="46"/>
  <c r="BU19" i="46"/>
  <c r="BM19" i="46"/>
  <c r="BP19" i="46"/>
  <c r="BT19" i="46"/>
  <c r="BX19" i="46"/>
  <c r="BO19" i="46"/>
  <c r="BS19" i="46"/>
  <c r="BW19" i="46"/>
  <c r="BN15" i="46"/>
  <c r="BR15" i="46"/>
  <c r="BV15" i="46"/>
  <c r="BQ15" i="46"/>
  <c r="BU15" i="46"/>
  <c r="BM15" i="46"/>
  <c r="BP15" i="46"/>
  <c r="BT15" i="46"/>
  <c r="BX15" i="46"/>
  <c r="BO15" i="46"/>
  <c r="BS15" i="46"/>
  <c r="BW15" i="46"/>
  <c r="BN14" i="46"/>
  <c r="BR14" i="46"/>
  <c r="BV14" i="46"/>
  <c r="BQ14" i="46"/>
  <c r="BU14" i="46"/>
  <c r="BM14" i="46"/>
  <c r="BP14" i="46"/>
  <c r="BT14" i="46"/>
  <c r="BX14" i="46"/>
  <c r="BO14" i="46"/>
  <c r="BS14" i="46"/>
  <c r="BW14" i="46"/>
  <c r="CC11" i="46"/>
  <c r="CG11" i="46"/>
  <c r="BY11" i="46"/>
  <c r="CB11" i="46"/>
  <c r="CF11" i="46"/>
  <c r="CJ11" i="46"/>
  <c r="CA11" i="46"/>
  <c r="CE11" i="46"/>
  <c r="CI11" i="46"/>
  <c r="BZ11" i="46"/>
  <c r="CD11" i="46"/>
  <c r="CH11" i="46"/>
  <c r="CC9" i="46"/>
  <c r="CG9" i="46"/>
  <c r="BY9" i="46"/>
  <c r="CB9" i="46"/>
  <c r="CF9" i="46"/>
  <c r="CJ9" i="46"/>
  <c r="CA9" i="46"/>
  <c r="CE9" i="46"/>
  <c r="CI9" i="46"/>
  <c r="BZ9" i="46"/>
  <c r="CD9" i="46"/>
  <c r="CH9" i="46"/>
  <c r="CC7" i="46"/>
  <c r="CG7" i="46"/>
  <c r="BY7" i="46"/>
  <c r="CB7" i="46"/>
  <c r="CF7" i="46"/>
  <c r="CJ7" i="46"/>
  <c r="CA7" i="46"/>
  <c r="CE7" i="46"/>
  <c r="CI7" i="46"/>
  <c r="BZ7" i="46"/>
  <c r="CD7" i="46"/>
  <c r="CH7" i="46"/>
  <c r="CC12" i="46"/>
  <c r="CG12" i="46"/>
  <c r="BY12" i="46"/>
  <c r="CB12" i="46"/>
  <c r="CF12" i="46"/>
  <c r="CJ12" i="46"/>
  <c r="CA12" i="46"/>
  <c r="CE12" i="46"/>
  <c r="CI12" i="46"/>
  <c r="BZ12" i="46"/>
  <c r="CD12" i="46"/>
  <c r="CH12" i="46"/>
  <c r="CC10" i="46"/>
  <c r="CG10" i="46"/>
  <c r="BY10" i="46"/>
  <c r="CB10" i="46"/>
  <c r="CF10" i="46"/>
  <c r="CJ10" i="46"/>
  <c r="CA10" i="46"/>
  <c r="CE10" i="46"/>
  <c r="CI10" i="46"/>
  <c r="BZ10" i="46"/>
  <c r="CD10" i="46"/>
  <c r="CH10" i="46"/>
  <c r="CC8" i="46"/>
  <c r="CG8" i="46"/>
  <c r="BY8" i="46"/>
  <c r="CB8" i="46"/>
  <c r="CF8" i="46"/>
  <c r="CJ8" i="46"/>
  <c r="CA8" i="46"/>
  <c r="CE8" i="46"/>
  <c r="CI8" i="46"/>
  <c r="BZ8" i="46"/>
  <c r="CD8" i="46"/>
  <c r="CH8" i="46"/>
  <c r="CC6" i="46"/>
  <c r="CG6" i="46"/>
  <c r="BY6" i="46"/>
  <c r="CB6" i="46"/>
  <c r="CF6" i="46"/>
  <c r="CJ6" i="46"/>
  <c r="CA6" i="46"/>
  <c r="CE6" i="46"/>
  <c r="CI6" i="46"/>
  <c r="BZ6" i="46"/>
  <c r="CD6" i="46"/>
  <c r="CH6" i="46"/>
  <c r="CC5" i="46"/>
  <c r="CG5" i="46"/>
  <c r="BY5" i="46"/>
  <c r="CB5" i="46"/>
  <c r="CF5" i="46"/>
  <c r="CJ5" i="46"/>
  <c r="CA5" i="46"/>
  <c r="CE5" i="46"/>
  <c r="CI5" i="46"/>
  <c r="BZ5" i="46"/>
  <c r="CD5" i="46"/>
  <c r="CH5" i="46"/>
  <c r="BP23" i="46"/>
  <c r="BT23" i="46"/>
  <c r="BX23" i="46"/>
  <c r="BO23" i="46"/>
  <c r="BS23" i="46"/>
  <c r="BW23" i="46"/>
  <c r="BN23" i="46"/>
  <c r="BR23" i="46"/>
  <c r="BV23" i="46"/>
  <c r="BQ23" i="46"/>
  <c r="BU23" i="46"/>
  <c r="BM23" i="46"/>
  <c r="BD22" i="46"/>
  <c r="BH22" i="46"/>
  <c r="BL22" i="46"/>
  <c r="BC22" i="46"/>
  <c r="BG22" i="46"/>
  <c r="BK22" i="46"/>
  <c r="BB22" i="46"/>
  <c r="BF22" i="46"/>
  <c r="BJ22" i="46"/>
  <c r="BE22" i="46"/>
  <c r="BI22" i="46"/>
  <c r="BA22" i="46"/>
  <c r="D32" i="1"/>
  <c r="D33" i="1"/>
  <c r="D34" i="1"/>
  <c r="D30" i="1"/>
  <c r="F49" i="46"/>
  <c r="D49" i="46"/>
  <c r="C24" i="46"/>
  <c r="D10" i="1"/>
  <c r="G40" i="18"/>
  <c r="H40" i="18"/>
  <c r="I40" i="18"/>
  <c r="J40" i="18"/>
  <c r="J73" i="18" s="1"/>
  <c r="G19" i="5" s="1"/>
  <c r="G18" i="5" s="1"/>
  <c r="K40" i="18"/>
  <c r="L40" i="18"/>
  <c r="N40" i="18"/>
  <c r="O40" i="18"/>
  <c r="P40" i="18"/>
  <c r="Q40" i="18"/>
  <c r="R40" i="18"/>
  <c r="R73" i="18" s="1"/>
  <c r="S40" i="18"/>
  <c r="T40" i="18"/>
  <c r="U40" i="18"/>
  <c r="V40" i="18"/>
  <c r="W40" i="18"/>
  <c r="X40" i="18"/>
  <c r="Y40" i="18"/>
  <c r="AB40" i="18"/>
  <c r="AC40" i="18"/>
  <c r="AD40" i="18"/>
  <c r="AE40" i="18"/>
  <c r="AF40" i="18"/>
  <c r="AG40" i="18"/>
  <c r="AI40" i="18"/>
  <c r="AJ40" i="18"/>
  <c r="AK40" i="18"/>
  <c r="AM40" i="18"/>
  <c r="AO40" i="18"/>
  <c r="AP40" i="18"/>
  <c r="AQ40" i="18"/>
  <c r="AR40" i="18"/>
  <c r="AS40" i="18"/>
  <c r="AT40" i="18"/>
  <c r="AU40" i="18"/>
  <c r="AV40" i="18"/>
  <c r="AW40" i="18"/>
  <c r="AX40" i="18"/>
  <c r="AY40" i="18"/>
  <c r="AZ40" i="18"/>
  <c r="J51" i="5"/>
  <c r="K51" i="5" s="1"/>
  <c r="L51" i="5" s="1"/>
  <c r="M51" i="5" s="1"/>
  <c r="N51" i="5" s="1"/>
  <c r="O51" i="5" s="1"/>
  <c r="P51" i="5" s="1"/>
  <c r="Q51" i="5" s="1"/>
  <c r="R51" i="5" s="1"/>
  <c r="S51" i="5" s="1"/>
  <c r="T51" i="5" s="1"/>
  <c r="U51" i="5" s="1"/>
  <c r="V51" i="5" s="1"/>
  <c r="W51" i="5" s="1"/>
  <c r="X51" i="5" s="1"/>
  <c r="Y51" i="5" s="1"/>
  <c r="Z51" i="5" s="1"/>
  <c r="AA51" i="5" s="1"/>
  <c r="AB51" i="5" s="1"/>
  <c r="AC51" i="5" s="1"/>
  <c r="AD51" i="5" s="1"/>
  <c r="O73" i="18" l="1"/>
  <c r="L19" i="5" s="1"/>
  <c r="L18" i="5" s="1"/>
  <c r="N73" i="18"/>
  <c r="K19" i="5" s="1"/>
  <c r="K18" i="5" s="1"/>
  <c r="W73" i="18"/>
  <c r="W74" i="18" s="1"/>
  <c r="T5" i="5" s="1"/>
  <c r="AY73" i="18"/>
  <c r="AV19" i="5" s="1"/>
  <c r="AV18" i="5" s="1"/>
  <c r="AY74" i="18"/>
  <c r="AV5" i="5" s="1"/>
  <c r="AQ73" i="18"/>
  <c r="AN19" i="5" s="1"/>
  <c r="AN18" i="5" s="1"/>
  <c r="V73" i="18"/>
  <c r="V74" i="18" s="1"/>
  <c r="S5" i="5" s="1"/>
  <c r="AX73" i="18"/>
  <c r="AU19" i="5" s="1"/>
  <c r="AU18" i="5" s="1"/>
  <c r="AP73" i="18"/>
  <c r="AM19" i="5" s="1"/>
  <c r="AM18" i="5" s="1"/>
  <c r="AE73" i="18"/>
  <c r="AE74" i="18" s="1"/>
  <c r="AB5" i="5" s="1"/>
  <c r="L73" i="18"/>
  <c r="I19" i="5" s="1"/>
  <c r="I18" i="5" s="1"/>
  <c r="R74" i="18"/>
  <c r="AR73" i="18"/>
  <c r="AO19" i="5" s="1"/>
  <c r="AO18" i="5" s="1"/>
  <c r="AR74" i="18"/>
  <c r="AO5" i="5" s="1"/>
  <c r="AD73" i="18"/>
  <c r="AD74" i="18" s="1"/>
  <c r="AA5" i="5" s="1"/>
  <c r="AZ73" i="18"/>
  <c r="AW19" i="5" s="1"/>
  <c r="AW18" i="5" s="1"/>
  <c r="W24" i="5"/>
  <c r="AF73" i="18"/>
  <c r="AC19" i="5" s="1"/>
  <c r="AC18" i="5" s="1"/>
  <c r="AW73" i="18"/>
  <c r="AT19" i="5" s="1"/>
  <c r="AT18" i="5" s="1"/>
  <c r="K73" i="18"/>
  <c r="H19" i="5" s="1"/>
  <c r="H18" i="5" s="1"/>
  <c r="K74" i="18"/>
  <c r="H5" i="5" s="1"/>
  <c r="AV73" i="18"/>
  <c r="AS19" i="5" s="1"/>
  <c r="AS18" i="5" s="1"/>
  <c r="AK73" i="18"/>
  <c r="AH19" i="5" s="1"/>
  <c r="AH18" i="5" s="1"/>
  <c r="AK74" i="18"/>
  <c r="AB73" i="18"/>
  <c r="AB74" i="18" s="1"/>
  <c r="Y5" i="5" s="1"/>
  <c r="X24" i="5"/>
  <c r="AG73" i="18"/>
  <c r="AD19" i="5" s="1"/>
  <c r="AD18" i="5" s="1"/>
  <c r="AO73" i="18"/>
  <c r="AL19" i="5" s="1"/>
  <c r="AL18" i="5" s="1"/>
  <c r="T73" i="18"/>
  <c r="T74" i="18" s="1"/>
  <c r="Q5" i="5" s="1"/>
  <c r="AM73" i="18"/>
  <c r="AJ19" i="5" s="1"/>
  <c r="AJ18" i="5" s="1"/>
  <c r="AC73" i="18"/>
  <c r="AC74" i="18" s="1"/>
  <c r="Z5" i="5" s="1"/>
  <c r="AU73" i="18"/>
  <c r="AR19" i="5" s="1"/>
  <c r="AR18" i="5" s="1"/>
  <c r="I73" i="18"/>
  <c r="F19" i="5" s="1"/>
  <c r="F18" i="5" s="1"/>
  <c r="I74" i="18"/>
  <c r="F5" i="5" s="1"/>
  <c r="AT73" i="18"/>
  <c r="AQ19" i="5" s="1"/>
  <c r="AQ18" i="5" s="1"/>
  <c r="AJ73" i="18"/>
  <c r="AG19" i="5" s="1"/>
  <c r="AG18" i="5" s="1"/>
  <c r="Y73" i="18"/>
  <c r="Y74" i="18" s="1"/>
  <c r="V5" i="5" s="1"/>
  <c r="Q73" i="18"/>
  <c r="Q74" i="18"/>
  <c r="N5" i="5" s="1"/>
  <c r="H73" i="18"/>
  <c r="E19" i="5" s="1"/>
  <c r="E18" i="5" s="1"/>
  <c r="S74" i="18"/>
  <c r="P5" i="5" s="1"/>
  <c r="AS73" i="18"/>
  <c r="AP19" i="5" s="1"/>
  <c r="AP18" i="5" s="1"/>
  <c r="AS74" i="18"/>
  <c r="AP5" i="5" s="1"/>
  <c r="AI73" i="18"/>
  <c r="AF19" i="5" s="1"/>
  <c r="AF18" i="5" s="1"/>
  <c r="X73" i="18"/>
  <c r="P73" i="18"/>
  <c r="M19" i="5" s="1"/>
  <c r="M18" i="5" s="1"/>
  <c r="J74" i="18"/>
  <c r="G5" i="5" s="1"/>
  <c r="U73" i="18"/>
  <c r="X20" i="5"/>
  <c r="S73" i="18"/>
  <c r="E6" i="18"/>
  <c r="E3" i="18"/>
  <c r="R131" i="18" s="1"/>
  <c r="W20" i="5"/>
  <c r="BC10" i="42"/>
  <c r="I29" i="45"/>
  <c r="J28" i="45"/>
  <c r="J27" i="45"/>
  <c r="I30" i="45"/>
  <c r="Z40" i="18"/>
  <c r="I27" i="44"/>
  <c r="CL11" i="45"/>
  <c r="CP11" i="45"/>
  <c r="CT11" i="45"/>
  <c r="CO11" i="45"/>
  <c r="CS11" i="45"/>
  <c r="CK11" i="45"/>
  <c r="CM11" i="45"/>
  <c r="CQ11" i="45"/>
  <c r="CU11" i="45"/>
  <c r="CR11" i="45"/>
  <c r="CN11" i="45"/>
  <c r="CV11" i="45"/>
  <c r="J26" i="44"/>
  <c r="CX10" i="45"/>
  <c r="DB10" i="45"/>
  <c r="DF10" i="45"/>
  <c r="DA10" i="45"/>
  <c r="DE10" i="45"/>
  <c r="CW10" i="45"/>
  <c r="CY10" i="45"/>
  <c r="DC10" i="45"/>
  <c r="DG10" i="45"/>
  <c r="DH10" i="45"/>
  <c r="DD10" i="45"/>
  <c r="CZ10" i="45"/>
  <c r="I28" i="44"/>
  <c r="CL12" i="45"/>
  <c r="CP12" i="45"/>
  <c r="CT12" i="45"/>
  <c r="CO12" i="45"/>
  <c r="CS12" i="45"/>
  <c r="CK12" i="45"/>
  <c r="CM12" i="45"/>
  <c r="CQ12" i="45"/>
  <c r="CU12" i="45"/>
  <c r="CN12" i="45"/>
  <c r="CV12" i="45"/>
  <c r="CR12" i="45"/>
  <c r="AA40" i="18"/>
  <c r="BZ18" i="46"/>
  <c r="DA9" i="45"/>
  <c r="DE9" i="45"/>
  <c r="CW9" i="45"/>
  <c r="CZ9" i="45"/>
  <c r="DD9" i="45"/>
  <c r="DH9" i="45"/>
  <c r="CY9" i="45"/>
  <c r="DC9" i="45"/>
  <c r="DG9" i="45"/>
  <c r="CX9" i="45"/>
  <c r="DB9" i="45"/>
  <c r="DF9" i="45"/>
  <c r="G49" i="46"/>
  <c r="CJ18" i="46"/>
  <c r="CT18" i="46" s="1"/>
  <c r="DS31" i="28"/>
  <c r="DW31" i="28"/>
  <c r="EA31" i="28"/>
  <c r="DX31" i="28"/>
  <c r="DV31" i="28"/>
  <c r="DZ31" i="28"/>
  <c r="DR31" i="28"/>
  <c r="DU31" i="28"/>
  <c r="DY31" i="28"/>
  <c r="EC31" i="28"/>
  <c r="DT31" i="28"/>
  <c r="EB31" i="28"/>
  <c r="K41" i="28"/>
  <c r="CG18" i="46"/>
  <c r="CE18" i="46"/>
  <c r="CH18" i="46"/>
  <c r="CB18" i="46"/>
  <c r="CA18" i="46"/>
  <c r="BY18" i="46"/>
  <c r="CD18" i="46"/>
  <c r="CI18" i="46"/>
  <c r="CF18" i="46"/>
  <c r="AA26" i="28"/>
  <c r="AE26" i="28"/>
  <c r="AI26" i="28"/>
  <c r="AK26" i="28"/>
  <c r="AD26" i="28"/>
  <c r="AH26" i="28"/>
  <c r="AC26" i="28"/>
  <c r="AG26" i="28"/>
  <c r="Z26" i="28"/>
  <c r="AB26" i="28"/>
  <c r="AF26" i="28"/>
  <c r="AJ26" i="28"/>
  <c r="AB30" i="28"/>
  <c r="AF30" i="28"/>
  <c r="AJ30" i="28"/>
  <c r="AA30" i="28"/>
  <c r="AE30" i="28"/>
  <c r="AI30" i="28"/>
  <c r="AD30" i="28"/>
  <c r="AH30" i="28"/>
  <c r="Z30" i="28"/>
  <c r="AC30" i="28"/>
  <c r="AG30" i="28"/>
  <c r="AK30" i="28"/>
  <c r="AB29" i="28"/>
  <c r="AF29" i="28"/>
  <c r="AJ29" i="28"/>
  <c r="AA29" i="28"/>
  <c r="AE29" i="28"/>
  <c r="AI29" i="28"/>
  <c r="AD29" i="28"/>
  <c r="AH29" i="28"/>
  <c r="Z29" i="28"/>
  <c r="AC29" i="28"/>
  <c r="AG29" i="28"/>
  <c r="AK29" i="28"/>
  <c r="AB27" i="28"/>
  <c r="AF27" i="28"/>
  <c r="AJ27" i="28"/>
  <c r="AA27" i="28"/>
  <c r="AE27" i="28"/>
  <c r="AI27" i="28"/>
  <c r="AD27" i="28"/>
  <c r="AH27" i="28"/>
  <c r="Z27" i="28"/>
  <c r="AC27" i="28"/>
  <c r="AG27" i="28"/>
  <c r="AK27" i="28"/>
  <c r="AB28" i="28"/>
  <c r="AF28" i="28"/>
  <c r="AJ28" i="28"/>
  <c r="AA28" i="28"/>
  <c r="AE28" i="28"/>
  <c r="AI28" i="28"/>
  <c r="AD28" i="28"/>
  <c r="AH28" i="28"/>
  <c r="Z28" i="28"/>
  <c r="AC28" i="28"/>
  <c r="AG28" i="28"/>
  <c r="AK28" i="28"/>
  <c r="D9" i="44"/>
  <c r="Y32" i="28"/>
  <c r="Z7" i="5" s="1"/>
  <c r="D5" i="44"/>
  <c r="D8" i="44"/>
  <c r="D6" i="44"/>
  <c r="D7" i="44"/>
  <c r="BY16" i="46"/>
  <c r="CA16" i="46"/>
  <c r="CD16" i="46"/>
  <c r="CE16" i="46"/>
  <c r="CB16" i="46"/>
  <c r="CH16" i="46"/>
  <c r="CI16" i="46"/>
  <c r="CF16" i="46"/>
  <c r="CC16" i="46"/>
  <c r="CJ16" i="46"/>
  <c r="CO16" i="46" s="1"/>
  <c r="CG16" i="46"/>
  <c r="BZ14" i="46"/>
  <c r="CD14" i="46"/>
  <c r="CH14" i="46"/>
  <c r="CC14" i="46"/>
  <c r="CG14" i="46"/>
  <c r="BY14" i="46"/>
  <c r="CB14" i="46"/>
  <c r="CF14" i="46"/>
  <c r="CJ14" i="46"/>
  <c r="CA14" i="46"/>
  <c r="CE14" i="46"/>
  <c r="CI14" i="46"/>
  <c r="CL18" i="46"/>
  <c r="BZ15" i="46"/>
  <c r="CD15" i="46"/>
  <c r="CH15" i="46"/>
  <c r="CC15" i="46"/>
  <c r="CG15" i="46"/>
  <c r="BY15" i="46"/>
  <c r="CB15" i="46"/>
  <c r="CF15" i="46"/>
  <c r="CJ15" i="46"/>
  <c r="CA15" i="46"/>
  <c r="CE15" i="46"/>
  <c r="CI15" i="46"/>
  <c r="BZ19" i="46"/>
  <c r="CD19" i="46"/>
  <c r="CH19" i="46"/>
  <c r="CC19" i="46"/>
  <c r="CG19" i="46"/>
  <c r="BY19" i="46"/>
  <c r="CB19" i="46"/>
  <c r="CF19" i="46"/>
  <c r="CJ19" i="46"/>
  <c r="CA19" i="46"/>
  <c r="CE19" i="46"/>
  <c r="CI19" i="46"/>
  <c r="BZ17" i="46"/>
  <c r="CD17" i="46"/>
  <c r="CH17" i="46"/>
  <c r="CC17" i="46"/>
  <c r="CG17" i="46"/>
  <c r="BY17" i="46"/>
  <c r="CB17" i="46"/>
  <c r="CF17" i="46"/>
  <c r="CJ17" i="46"/>
  <c r="CA17" i="46"/>
  <c r="CE17" i="46"/>
  <c r="CI17" i="46"/>
  <c r="BZ20" i="46"/>
  <c r="CD20" i="46"/>
  <c r="CH20" i="46"/>
  <c r="CC20" i="46"/>
  <c r="CG20" i="46"/>
  <c r="BY20" i="46"/>
  <c r="CB20" i="46"/>
  <c r="CF20" i="46"/>
  <c r="CJ20" i="46"/>
  <c r="CA20" i="46"/>
  <c r="CE20" i="46"/>
  <c r="CI20" i="46"/>
  <c r="H49" i="46"/>
  <c r="CO5" i="46"/>
  <c r="CS5" i="46"/>
  <c r="CK5" i="46"/>
  <c r="CN5" i="46"/>
  <c r="CR5" i="46"/>
  <c r="CV5" i="46"/>
  <c r="CM5" i="46"/>
  <c r="CQ5" i="46"/>
  <c r="CU5" i="46"/>
  <c r="CL5" i="46"/>
  <c r="CP5" i="46"/>
  <c r="CT5" i="46"/>
  <c r="CO8" i="46"/>
  <c r="CS8" i="46"/>
  <c r="CK8" i="46"/>
  <c r="CN8" i="46"/>
  <c r="CR8" i="46"/>
  <c r="CV8" i="46"/>
  <c r="CM8" i="46"/>
  <c r="CQ8" i="46"/>
  <c r="CU8" i="46"/>
  <c r="CL8" i="46"/>
  <c r="CP8" i="46"/>
  <c r="CT8" i="46"/>
  <c r="CO10" i="46"/>
  <c r="CS10" i="46"/>
  <c r="CK10" i="46"/>
  <c r="CN10" i="46"/>
  <c r="CR10" i="46"/>
  <c r="CV10" i="46"/>
  <c r="CM10" i="46"/>
  <c r="CQ10" i="46"/>
  <c r="CU10" i="46"/>
  <c r="CL10" i="46"/>
  <c r="CP10" i="46"/>
  <c r="CT10" i="46"/>
  <c r="CO12" i="46"/>
  <c r="CS12" i="46"/>
  <c r="CK12" i="46"/>
  <c r="CN12" i="46"/>
  <c r="CR12" i="46"/>
  <c r="CV12" i="46"/>
  <c r="CM12" i="46"/>
  <c r="CQ12" i="46"/>
  <c r="CU12" i="46"/>
  <c r="CL12" i="46"/>
  <c r="CP12" i="46"/>
  <c r="CT12" i="46"/>
  <c r="CO7" i="46"/>
  <c r="CS7" i="46"/>
  <c r="CK7" i="46"/>
  <c r="CN7" i="46"/>
  <c r="CR7" i="46"/>
  <c r="CV7" i="46"/>
  <c r="CM7" i="46"/>
  <c r="CQ7" i="46"/>
  <c r="CU7" i="46"/>
  <c r="CL7" i="46"/>
  <c r="CP7" i="46"/>
  <c r="CT7" i="46"/>
  <c r="CO9" i="46"/>
  <c r="CS9" i="46"/>
  <c r="CK9" i="46"/>
  <c r="CN9" i="46"/>
  <c r="CR9" i="46"/>
  <c r="CV9" i="46"/>
  <c r="CM9" i="46"/>
  <c r="CQ9" i="46"/>
  <c r="CU9" i="46"/>
  <c r="CL9" i="46"/>
  <c r="CP9" i="46"/>
  <c r="CT9" i="46"/>
  <c r="CO11" i="46"/>
  <c r="CS11" i="46"/>
  <c r="CK11" i="46"/>
  <c r="CN11" i="46"/>
  <c r="CR11" i="46"/>
  <c r="CV11" i="46"/>
  <c r="CM11" i="46"/>
  <c r="CQ11" i="46"/>
  <c r="CU11" i="46"/>
  <c r="CL11" i="46"/>
  <c r="CP11" i="46"/>
  <c r="CT11" i="46"/>
  <c r="CO6" i="46"/>
  <c r="CS6" i="46"/>
  <c r="CK6" i="46"/>
  <c r="CN6" i="46"/>
  <c r="CR6" i="46"/>
  <c r="CV6" i="46"/>
  <c r="CM6" i="46"/>
  <c r="CQ6" i="46"/>
  <c r="CU6" i="46"/>
  <c r="CL6" i="46"/>
  <c r="CP6" i="46"/>
  <c r="CT6" i="46"/>
  <c r="BP22" i="46"/>
  <c r="BT22" i="46"/>
  <c r="BX22" i="46"/>
  <c r="BO22" i="46"/>
  <c r="BS22" i="46"/>
  <c r="BW22" i="46"/>
  <c r="BN22" i="46"/>
  <c r="BR22" i="46"/>
  <c r="BV22" i="46"/>
  <c r="BQ22" i="46"/>
  <c r="BU22" i="46"/>
  <c r="BM22" i="46"/>
  <c r="CB23" i="46"/>
  <c r="CF23" i="46"/>
  <c r="CJ23" i="46"/>
  <c r="CA23" i="46"/>
  <c r="CE23" i="46"/>
  <c r="CI23" i="46"/>
  <c r="BZ23" i="46"/>
  <c r="CD23" i="46"/>
  <c r="CH23" i="46"/>
  <c r="CC23" i="46"/>
  <c r="CG23" i="46"/>
  <c r="BY23" i="46"/>
  <c r="AX5" i="5"/>
  <c r="C5" i="5"/>
  <c r="O5" i="5"/>
  <c r="C36" i="28"/>
  <c r="C15" i="28"/>
  <c r="P74" i="18" l="1"/>
  <c r="M5" i="5" s="1"/>
  <c r="AF74" i="18"/>
  <c r="AC5" i="5" s="1"/>
  <c r="AP74" i="18"/>
  <c r="AM5" i="5" s="1"/>
  <c r="N74" i="18"/>
  <c r="K5" i="5" s="1"/>
  <c r="AI74" i="18"/>
  <c r="AV74" i="18"/>
  <c r="AS5" i="5" s="1"/>
  <c r="AA73" i="18"/>
  <c r="AA74" i="18" s="1"/>
  <c r="X5" i="5" s="1"/>
  <c r="Z73" i="18"/>
  <c r="Z74" i="18" s="1"/>
  <c r="W5" i="5" s="1"/>
  <c r="AU74" i="18"/>
  <c r="AR5" i="5" s="1"/>
  <c r="AO74" i="18"/>
  <c r="AX74" i="18"/>
  <c r="AU5" i="5" s="1"/>
  <c r="D78" i="5"/>
  <c r="N78" i="5" s="1"/>
  <c r="CG30" i="5"/>
  <c r="AJ74" i="18"/>
  <c r="AG74" i="18"/>
  <c r="AZ74" i="18"/>
  <c r="AW5" i="5" s="1"/>
  <c r="L74" i="18"/>
  <c r="I5" i="5" s="1"/>
  <c r="H74" i="18"/>
  <c r="E5" i="5" s="1"/>
  <c r="AT74" i="18"/>
  <c r="AM74" i="18"/>
  <c r="U74" i="18"/>
  <c r="R5" i="5" s="1"/>
  <c r="AQ74" i="18"/>
  <c r="AN5" i="5" s="1"/>
  <c r="O74" i="18"/>
  <c r="L5" i="5" s="1"/>
  <c r="X74" i="18"/>
  <c r="U5" i="5" s="1"/>
  <c r="AW74" i="18"/>
  <c r="AT5" i="5" s="1"/>
  <c r="D74" i="5"/>
  <c r="BF10" i="42"/>
  <c r="J29" i="45"/>
  <c r="K27" i="45"/>
  <c r="K28" i="45"/>
  <c r="J30" i="45"/>
  <c r="J27" i="44"/>
  <c r="CX11" i="45"/>
  <c r="DB11" i="45"/>
  <c r="DF11" i="45"/>
  <c r="DA11" i="45"/>
  <c r="DE11" i="45"/>
  <c r="CW11" i="45"/>
  <c r="CY11" i="45"/>
  <c r="DC11" i="45"/>
  <c r="DG11" i="45"/>
  <c r="DH11" i="45"/>
  <c r="DD11" i="45"/>
  <c r="CZ11" i="45"/>
  <c r="K26" i="44"/>
  <c r="DJ10" i="45"/>
  <c r="DN10" i="45"/>
  <c r="DR10" i="45"/>
  <c r="DM10" i="45"/>
  <c r="DQ10" i="45"/>
  <c r="DI10" i="45"/>
  <c r="DK10" i="45"/>
  <c r="DO10" i="45"/>
  <c r="DS10" i="45"/>
  <c r="DL10" i="45"/>
  <c r="DT10" i="45"/>
  <c r="DP10" i="45"/>
  <c r="C42" i="28"/>
  <c r="J28" i="44"/>
  <c r="CX12" i="45"/>
  <c r="DB12" i="45"/>
  <c r="DF12" i="45"/>
  <c r="DA12" i="45"/>
  <c r="DE12" i="45"/>
  <c r="CW12" i="45"/>
  <c r="CY12" i="45"/>
  <c r="DC12" i="45"/>
  <c r="DG12" i="45"/>
  <c r="DD12" i="45"/>
  <c r="CZ12" i="45"/>
  <c r="DH12" i="45"/>
  <c r="DM9" i="45"/>
  <c r="DQ9" i="45"/>
  <c r="DI9" i="45"/>
  <c r="DL9" i="45"/>
  <c r="DP9" i="45"/>
  <c r="DT9" i="45"/>
  <c r="DK9" i="45"/>
  <c r="DO9" i="45"/>
  <c r="DS9" i="45"/>
  <c r="DJ9" i="45"/>
  <c r="DN9" i="45"/>
  <c r="DR9" i="45"/>
  <c r="CR18" i="46"/>
  <c r="CV18" i="46"/>
  <c r="CX18" i="46" s="1"/>
  <c r="CU18" i="46"/>
  <c r="CO18" i="46"/>
  <c r="CS18" i="46"/>
  <c r="CK18" i="46"/>
  <c r="CM18" i="46"/>
  <c r="CP18" i="46"/>
  <c r="CQ18" i="46"/>
  <c r="CN18" i="46"/>
  <c r="L41" i="28"/>
  <c r="D38" i="28"/>
  <c r="D37" i="28"/>
  <c r="D39" i="28"/>
  <c r="D40" i="28"/>
  <c r="AA32" i="28"/>
  <c r="AB7" i="5" s="1"/>
  <c r="AD32" i="28"/>
  <c r="AE7" i="5" s="1"/>
  <c r="AH32" i="28"/>
  <c r="AI7" i="5" s="1"/>
  <c r="E6" i="44"/>
  <c r="AN27" i="28"/>
  <c r="AR27" i="28"/>
  <c r="AV27" i="28"/>
  <c r="AM27" i="28"/>
  <c r="AQ27" i="28"/>
  <c r="AU27" i="28"/>
  <c r="AP27" i="28"/>
  <c r="AT27" i="28"/>
  <c r="AL27" i="28"/>
  <c r="AO27" i="28"/>
  <c r="AS27" i="28"/>
  <c r="AW27" i="28"/>
  <c r="E7" i="44"/>
  <c r="AN28" i="28"/>
  <c r="AR28" i="28"/>
  <c r="AV28" i="28"/>
  <c r="AM28" i="28"/>
  <c r="AQ28" i="28"/>
  <c r="AU28" i="28"/>
  <c r="AP28" i="28"/>
  <c r="AT28" i="28"/>
  <c r="AL28" i="28"/>
  <c r="AO28" i="28"/>
  <c r="AS28" i="28"/>
  <c r="AW28" i="28"/>
  <c r="E5" i="44"/>
  <c r="AN26" i="28"/>
  <c r="AR26" i="28"/>
  <c r="AV26" i="28"/>
  <c r="AM26" i="28"/>
  <c r="AQ26" i="28"/>
  <c r="AU26" i="28"/>
  <c r="AP26" i="28"/>
  <c r="AT26" i="28"/>
  <c r="AL26" i="28"/>
  <c r="AO26" i="28"/>
  <c r="AS26" i="28"/>
  <c r="AW26" i="28"/>
  <c r="AF32" i="28"/>
  <c r="AG7" i="5" s="1"/>
  <c r="AC32" i="28"/>
  <c r="AD7" i="5" s="1"/>
  <c r="AI32" i="28"/>
  <c r="AJ7" i="5" s="1"/>
  <c r="E9" i="44"/>
  <c r="AN30" i="28"/>
  <c r="AR30" i="28"/>
  <c r="AV30" i="28"/>
  <c r="AM30" i="28"/>
  <c r="AQ30" i="28"/>
  <c r="AU30" i="28"/>
  <c r="AP30" i="28"/>
  <c r="AT30" i="28"/>
  <c r="AL30" i="28"/>
  <c r="AO30" i="28"/>
  <c r="AS30" i="28"/>
  <c r="AW30" i="28"/>
  <c r="E8" i="44"/>
  <c r="AN29" i="28"/>
  <c r="AR29" i="28"/>
  <c r="AV29" i="28"/>
  <c r="AM29" i="28"/>
  <c r="AQ29" i="28"/>
  <c r="AU29" i="28"/>
  <c r="AP29" i="28"/>
  <c r="AT29" i="28"/>
  <c r="AL29" i="28"/>
  <c r="AO29" i="28"/>
  <c r="AS29" i="28"/>
  <c r="AW29" i="28"/>
  <c r="AB32" i="28"/>
  <c r="AC7" i="5" s="1"/>
  <c r="AE32" i="28"/>
  <c r="AF7" i="5" s="1"/>
  <c r="AJ32" i="28"/>
  <c r="AK7" i="5" s="1"/>
  <c r="AG32" i="28"/>
  <c r="AH7" i="5" s="1"/>
  <c r="AK32" i="28"/>
  <c r="AL7" i="5" s="1"/>
  <c r="Z32" i="28"/>
  <c r="AA7" i="5" s="1"/>
  <c r="CV16" i="46"/>
  <c r="CX16" i="46" s="1"/>
  <c r="CQ16" i="46"/>
  <c r="CT16" i="46"/>
  <c r="CK16" i="46"/>
  <c r="CM16" i="46"/>
  <c r="CS16" i="46"/>
  <c r="CL16" i="46"/>
  <c r="CN16" i="46"/>
  <c r="CP16" i="46"/>
  <c r="CU16" i="46"/>
  <c r="CR16" i="46"/>
  <c r="CN23" i="46"/>
  <c r="CR23" i="46"/>
  <c r="CV23" i="46"/>
  <c r="CM23" i="46"/>
  <c r="CQ23" i="46"/>
  <c r="CU23" i="46"/>
  <c r="CL23" i="46"/>
  <c r="CP23" i="46"/>
  <c r="CT23" i="46"/>
  <c r="CO23" i="46"/>
  <c r="CS23" i="46"/>
  <c r="CK23" i="46"/>
  <c r="CL20" i="46"/>
  <c r="CP20" i="46"/>
  <c r="CT20" i="46"/>
  <c r="CO20" i="46"/>
  <c r="CS20" i="46"/>
  <c r="CK20" i="46"/>
  <c r="CN20" i="46"/>
  <c r="CR20" i="46"/>
  <c r="CV20" i="46"/>
  <c r="CM20" i="46"/>
  <c r="CQ20" i="46"/>
  <c r="CU20" i="46"/>
  <c r="CL17" i="46"/>
  <c r="CP17" i="46"/>
  <c r="CT17" i="46"/>
  <c r="CO17" i="46"/>
  <c r="CS17" i="46"/>
  <c r="CK17" i="46"/>
  <c r="CN17" i="46"/>
  <c r="CR17" i="46"/>
  <c r="CV17" i="46"/>
  <c r="CM17" i="46"/>
  <c r="CQ17" i="46"/>
  <c r="CU17" i="46"/>
  <c r="CL19" i="46"/>
  <c r="CP19" i="46"/>
  <c r="CT19" i="46"/>
  <c r="CO19" i="46"/>
  <c r="CS19" i="46"/>
  <c r="CK19" i="46"/>
  <c r="CN19" i="46"/>
  <c r="CR19" i="46"/>
  <c r="CV19" i="46"/>
  <c r="CM19" i="46"/>
  <c r="CQ19" i="46"/>
  <c r="CU19" i="46"/>
  <c r="CL15" i="46"/>
  <c r="CP15" i="46"/>
  <c r="CT15" i="46"/>
  <c r="CO15" i="46"/>
  <c r="CS15" i="46"/>
  <c r="CK15" i="46"/>
  <c r="CN15" i="46"/>
  <c r="CR15" i="46"/>
  <c r="CV15" i="46"/>
  <c r="CM15" i="46"/>
  <c r="CQ15" i="46"/>
  <c r="CU15" i="46"/>
  <c r="CL14" i="46"/>
  <c r="CP14" i="46"/>
  <c r="CT14" i="46"/>
  <c r="CO14" i="46"/>
  <c r="CS14" i="46"/>
  <c r="CK14" i="46"/>
  <c r="CN14" i="46"/>
  <c r="CR14" i="46"/>
  <c r="CV14" i="46"/>
  <c r="CM14" i="46"/>
  <c r="CQ14" i="46"/>
  <c r="CU14" i="46"/>
  <c r="I49" i="46"/>
  <c r="DA6" i="46"/>
  <c r="DE6" i="46"/>
  <c r="CW6" i="46"/>
  <c r="CZ6" i="46"/>
  <c r="DD6" i="46"/>
  <c r="DH6" i="46"/>
  <c r="CY6" i="46"/>
  <c r="DC6" i="46"/>
  <c r="DG6" i="46"/>
  <c r="CX6" i="46"/>
  <c r="DB6" i="46"/>
  <c r="DF6" i="46"/>
  <c r="CZ11" i="46"/>
  <c r="DD11" i="46"/>
  <c r="CX11" i="46"/>
  <c r="CY11" i="46"/>
  <c r="DE11" i="46"/>
  <c r="CW11" i="46"/>
  <c r="DC11" i="46"/>
  <c r="DH11" i="46"/>
  <c r="DB11" i="46"/>
  <c r="DG11" i="46"/>
  <c r="DA11" i="46"/>
  <c r="DF11" i="46"/>
  <c r="DA9" i="46"/>
  <c r="DE9" i="46"/>
  <c r="CW9" i="46"/>
  <c r="CZ9" i="46"/>
  <c r="DD9" i="46"/>
  <c r="DH9" i="46"/>
  <c r="CY9" i="46"/>
  <c r="DC9" i="46"/>
  <c r="DG9" i="46"/>
  <c r="CX9" i="46"/>
  <c r="DB9" i="46"/>
  <c r="DF9" i="46"/>
  <c r="DA7" i="46"/>
  <c r="DE7" i="46"/>
  <c r="CW7" i="46"/>
  <c r="CZ7" i="46"/>
  <c r="DD7" i="46"/>
  <c r="DH7" i="46"/>
  <c r="CY7" i="46"/>
  <c r="DC7" i="46"/>
  <c r="DG7" i="46"/>
  <c r="CX7" i="46"/>
  <c r="DB7" i="46"/>
  <c r="DF7" i="46"/>
  <c r="DA12" i="46"/>
  <c r="DE12" i="46"/>
  <c r="CZ12" i="46"/>
  <c r="DD12" i="46"/>
  <c r="DH12" i="46"/>
  <c r="CY12" i="46"/>
  <c r="DC12" i="46"/>
  <c r="CX12" i="46"/>
  <c r="DB12" i="46"/>
  <c r="DF12" i="46"/>
  <c r="CW12" i="46"/>
  <c r="DG12" i="46"/>
  <c r="DA10" i="46"/>
  <c r="DE10" i="46"/>
  <c r="CW10" i="46"/>
  <c r="CZ10" i="46"/>
  <c r="DD10" i="46"/>
  <c r="DH10" i="46"/>
  <c r="CY10" i="46"/>
  <c r="DC10" i="46"/>
  <c r="DG10" i="46"/>
  <c r="CX10" i="46"/>
  <c r="DB10" i="46"/>
  <c r="DF10" i="46"/>
  <c r="DA8" i="46"/>
  <c r="DE8" i="46"/>
  <c r="CW8" i="46"/>
  <c r="CZ8" i="46"/>
  <c r="DD8" i="46"/>
  <c r="DH8" i="46"/>
  <c r="CY8" i="46"/>
  <c r="DC8" i="46"/>
  <c r="DG8" i="46"/>
  <c r="CX8" i="46"/>
  <c r="DB8" i="46"/>
  <c r="DF8" i="46"/>
  <c r="DA5" i="46"/>
  <c r="DE5" i="46"/>
  <c r="CW5" i="46"/>
  <c r="CZ5" i="46"/>
  <c r="DD5" i="46"/>
  <c r="DH5" i="46"/>
  <c r="CY5" i="46"/>
  <c r="DC5" i="46"/>
  <c r="DG5" i="46"/>
  <c r="CX5" i="46"/>
  <c r="DB5" i="46"/>
  <c r="DF5" i="46"/>
  <c r="CB22" i="46"/>
  <c r="CF22" i="46"/>
  <c r="CJ22" i="46"/>
  <c r="CA22" i="46"/>
  <c r="CE22" i="46"/>
  <c r="CI22" i="46"/>
  <c r="BZ22" i="46"/>
  <c r="CD22" i="46"/>
  <c r="CH22" i="46"/>
  <c r="CC22" i="46"/>
  <c r="CG22" i="46"/>
  <c r="BY22" i="46"/>
  <c r="AL5" i="5"/>
  <c r="CW18" i="46" l="1"/>
  <c r="DC18" i="46"/>
  <c r="BI10" i="42"/>
  <c r="L28" i="45"/>
  <c r="L27" i="45"/>
  <c r="K30" i="45"/>
  <c r="K29" i="45"/>
  <c r="DJ12" i="45"/>
  <c r="DN12" i="45"/>
  <c r="DR12" i="45"/>
  <c r="DM12" i="45"/>
  <c r="DQ12" i="45"/>
  <c r="DI12" i="45"/>
  <c r="DK12" i="45"/>
  <c r="DO12" i="45"/>
  <c r="DS12" i="45"/>
  <c r="K28" i="44"/>
  <c r="DT12" i="45"/>
  <c r="DP12" i="45"/>
  <c r="DL12" i="45"/>
  <c r="K27" i="44"/>
  <c r="DJ11" i="45"/>
  <c r="DN11" i="45"/>
  <c r="DR11" i="45"/>
  <c r="DM11" i="45"/>
  <c r="DQ11" i="45"/>
  <c r="DI11" i="45"/>
  <c r="DK11" i="45"/>
  <c r="DO11" i="45"/>
  <c r="DS11" i="45"/>
  <c r="DT11" i="45"/>
  <c r="DP11" i="45"/>
  <c r="DL11" i="45"/>
  <c r="DV10" i="45"/>
  <c r="DZ10" i="45"/>
  <c r="ED10" i="45"/>
  <c r="DY10" i="45"/>
  <c r="EC10" i="45"/>
  <c r="DU10" i="45"/>
  <c r="DW10" i="45"/>
  <c r="EA10" i="45"/>
  <c r="EE10" i="45"/>
  <c r="EB10" i="45"/>
  <c r="DX10" i="45"/>
  <c r="EF10" i="45"/>
  <c r="DF18" i="46"/>
  <c r="DY9" i="45"/>
  <c r="EC9" i="45"/>
  <c r="DU9" i="45"/>
  <c r="DX9" i="45"/>
  <c r="EB9" i="45"/>
  <c r="EF9" i="45"/>
  <c r="DW9" i="45"/>
  <c r="EA9" i="45"/>
  <c r="EE9" i="45"/>
  <c r="DV9" i="45"/>
  <c r="DZ9" i="45"/>
  <c r="ED9" i="45"/>
  <c r="CZ18" i="46"/>
  <c r="CY18" i="46"/>
  <c r="DB18" i="46"/>
  <c r="DG18" i="46"/>
  <c r="DD18" i="46"/>
  <c r="DA18" i="46"/>
  <c r="CW16" i="46"/>
  <c r="DH18" i="46"/>
  <c r="DN18" i="46" s="1"/>
  <c r="DE18" i="46"/>
  <c r="DB16" i="46"/>
  <c r="CY16" i="46"/>
  <c r="E39" i="28"/>
  <c r="F7" i="44"/>
  <c r="AZ28" i="28"/>
  <c r="BD28" i="28"/>
  <c r="BH28" i="28"/>
  <c r="AY28" i="28"/>
  <c r="BC28" i="28"/>
  <c r="BG28" i="28"/>
  <c r="BB28" i="28"/>
  <c r="BF28" i="28"/>
  <c r="AX28" i="28"/>
  <c r="BA28" i="28"/>
  <c r="BE28" i="28"/>
  <c r="BI28" i="28"/>
  <c r="AS32" i="28"/>
  <c r="AT7" i="5" s="1"/>
  <c r="AP32" i="28"/>
  <c r="AQ7" i="5" s="1"/>
  <c r="AV32" i="28"/>
  <c r="AW7" i="5" s="1"/>
  <c r="E37" i="28"/>
  <c r="F9" i="44"/>
  <c r="AZ30" i="28"/>
  <c r="BD30" i="28"/>
  <c r="BH30" i="28"/>
  <c r="AY30" i="28"/>
  <c r="BC30" i="28"/>
  <c r="BG30" i="28"/>
  <c r="BB30" i="28"/>
  <c r="BF30" i="28"/>
  <c r="AX30" i="28"/>
  <c r="BA30" i="28"/>
  <c r="BE30" i="28"/>
  <c r="BI30" i="28"/>
  <c r="F5" i="44"/>
  <c r="AZ26" i="28"/>
  <c r="BD26" i="28"/>
  <c r="BH26" i="28"/>
  <c r="AY26" i="28"/>
  <c r="BC26" i="28"/>
  <c r="BG26" i="28"/>
  <c r="BB26" i="28"/>
  <c r="BF26" i="28"/>
  <c r="AX26" i="28"/>
  <c r="BA26" i="28"/>
  <c r="BE26" i="28"/>
  <c r="BI26" i="28"/>
  <c r="AR32" i="28"/>
  <c r="AS7" i="5" s="1"/>
  <c r="AM32" i="28"/>
  <c r="AN7" i="5" s="1"/>
  <c r="AW32" i="28"/>
  <c r="AX7" i="5" s="1"/>
  <c r="AT32" i="28"/>
  <c r="AU7" i="5" s="1"/>
  <c r="E38" i="28"/>
  <c r="F6" i="44"/>
  <c r="AZ27" i="28"/>
  <c r="BD27" i="28"/>
  <c r="BH27" i="28"/>
  <c r="AY27" i="28"/>
  <c r="BC27" i="28"/>
  <c r="BG27" i="28"/>
  <c r="BB27" i="28"/>
  <c r="BF27" i="28"/>
  <c r="AX27" i="28"/>
  <c r="BA27" i="28"/>
  <c r="BE27" i="28"/>
  <c r="BI27" i="28"/>
  <c r="F8" i="44"/>
  <c r="AZ29" i="28"/>
  <c r="BD29" i="28"/>
  <c r="BH29" i="28"/>
  <c r="AY29" i="28"/>
  <c r="BC29" i="28"/>
  <c r="BG29" i="28"/>
  <c r="BB29" i="28"/>
  <c r="BF29" i="28"/>
  <c r="AX29" i="28"/>
  <c r="BA29" i="28"/>
  <c r="BE29" i="28"/>
  <c r="BI29" i="28"/>
  <c r="AO32" i="28"/>
  <c r="AP7" i="5" s="1"/>
  <c r="AU32" i="28"/>
  <c r="AV7" i="5" s="1"/>
  <c r="E40" i="28"/>
  <c r="AQ32" i="28"/>
  <c r="AR7" i="5" s="1"/>
  <c r="AL32" i="28"/>
  <c r="AM7" i="5" s="1"/>
  <c r="AN32" i="28"/>
  <c r="AO7" i="5" s="1"/>
  <c r="DC16" i="46"/>
  <c r="CZ16" i="46"/>
  <c r="DF16" i="46"/>
  <c r="DG16" i="46"/>
  <c r="DD16" i="46"/>
  <c r="DA16" i="46"/>
  <c r="DH16" i="46"/>
  <c r="DR16" i="46" s="1"/>
  <c r="DE16" i="46"/>
  <c r="J49" i="46"/>
  <c r="DM11" i="46"/>
  <c r="DQ11" i="46"/>
  <c r="DI11" i="46"/>
  <c r="DL11" i="46"/>
  <c r="DP11" i="46"/>
  <c r="DT11" i="46"/>
  <c r="DK11" i="46"/>
  <c r="DO11" i="46"/>
  <c r="DS11" i="46"/>
  <c r="DJ11" i="46"/>
  <c r="DN11" i="46"/>
  <c r="DR11" i="46"/>
  <c r="CX14" i="46"/>
  <c r="DB14" i="46"/>
  <c r="DF14" i="46"/>
  <c r="DA14" i="46"/>
  <c r="DE14" i="46"/>
  <c r="CW14" i="46"/>
  <c r="CZ14" i="46"/>
  <c r="DD14" i="46"/>
  <c r="DH14" i="46"/>
  <c r="CY14" i="46"/>
  <c r="DC14" i="46"/>
  <c r="DG14" i="46"/>
  <c r="CX15" i="46"/>
  <c r="DB15" i="46"/>
  <c r="DF15" i="46"/>
  <c r="DA15" i="46"/>
  <c r="DE15" i="46"/>
  <c r="CW15" i="46"/>
  <c r="CZ15" i="46"/>
  <c r="DD15" i="46"/>
  <c r="DH15" i="46"/>
  <c r="CY15" i="46"/>
  <c r="DC15" i="46"/>
  <c r="DG15" i="46"/>
  <c r="CX19" i="46"/>
  <c r="DB19" i="46"/>
  <c r="DF19" i="46"/>
  <c r="DA19" i="46"/>
  <c r="DE19" i="46"/>
  <c r="CW19" i="46"/>
  <c r="CZ19" i="46"/>
  <c r="DD19" i="46"/>
  <c r="DH19" i="46"/>
  <c r="CY19" i="46"/>
  <c r="DC19" i="46"/>
  <c r="DG19" i="46"/>
  <c r="CX17" i="46"/>
  <c r="DB17" i="46"/>
  <c r="DF17" i="46"/>
  <c r="DA17" i="46"/>
  <c r="DE17" i="46"/>
  <c r="CW17" i="46"/>
  <c r="CZ17" i="46"/>
  <c r="DD17" i="46"/>
  <c r="DH17" i="46"/>
  <c r="CY17" i="46"/>
  <c r="DC17" i="46"/>
  <c r="DG17" i="46"/>
  <c r="CX20" i="46"/>
  <c r="DB20" i="46"/>
  <c r="DF20" i="46"/>
  <c r="DA20" i="46"/>
  <c r="DE20" i="46"/>
  <c r="CW20" i="46"/>
  <c r="CZ20" i="46"/>
  <c r="DD20" i="46"/>
  <c r="DH20" i="46"/>
  <c r="CY20" i="46"/>
  <c r="DC20" i="46"/>
  <c r="DG20" i="46"/>
  <c r="DM12" i="46"/>
  <c r="DQ12" i="46"/>
  <c r="DI12" i="46"/>
  <c r="DL12" i="46"/>
  <c r="DP12" i="46"/>
  <c r="DT12" i="46"/>
  <c r="DK12" i="46"/>
  <c r="DO12" i="46"/>
  <c r="DS12" i="46"/>
  <c r="DJ12" i="46"/>
  <c r="DN12" i="46"/>
  <c r="DR12" i="46"/>
  <c r="DM5" i="46"/>
  <c r="DQ5" i="46"/>
  <c r="DI5" i="46"/>
  <c r="DL5" i="46"/>
  <c r="DP5" i="46"/>
  <c r="DT5" i="46"/>
  <c r="DK5" i="46"/>
  <c r="DO5" i="46"/>
  <c r="DS5" i="46"/>
  <c r="DJ5" i="46"/>
  <c r="DN5" i="46"/>
  <c r="DR5" i="46"/>
  <c r="DM8" i="46"/>
  <c r="DQ8" i="46"/>
  <c r="DI8" i="46"/>
  <c r="DL8" i="46"/>
  <c r="DP8" i="46"/>
  <c r="DT8" i="46"/>
  <c r="DK8" i="46"/>
  <c r="DO8" i="46"/>
  <c r="DS8" i="46"/>
  <c r="DJ8" i="46"/>
  <c r="DN8" i="46"/>
  <c r="DR8" i="46"/>
  <c r="DM10" i="46"/>
  <c r="DQ10" i="46"/>
  <c r="DI10" i="46"/>
  <c r="DL10" i="46"/>
  <c r="DP10" i="46"/>
  <c r="DT10" i="46"/>
  <c r="DK10" i="46"/>
  <c r="DO10" i="46"/>
  <c r="DS10" i="46"/>
  <c r="DJ10" i="46"/>
  <c r="DN10" i="46"/>
  <c r="DR10" i="46"/>
  <c r="DM7" i="46"/>
  <c r="DQ7" i="46"/>
  <c r="DI7" i="46"/>
  <c r="DL7" i="46"/>
  <c r="DP7" i="46"/>
  <c r="DT7" i="46"/>
  <c r="DK7" i="46"/>
  <c r="DO7" i="46"/>
  <c r="DS7" i="46"/>
  <c r="DJ7" i="46"/>
  <c r="DN7" i="46"/>
  <c r="DR7" i="46"/>
  <c r="DM9" i="46"/>
  <c r="DQ9" i="46"/>
  <c r="DI9" i="46"/>
  <c r="DL9" i="46"/>
  <c r="DP9" i="46"/>
  <c r="DT9" i="46"/>
  <c r="DK9" i="46"/>
  <c r="DO9" i="46"/>
  <c r="DS9" i="46"/>
  <c r="DJ9" i="46"/>
  <c r="DN9" i="46"/>
  <c r="DR9" i="46"/>
  <c r="DM6" i="46"/>
  <c r="DQ6" i="46"/>
  <c r="DI6" i="46"/>
  <c r="DL6" i="46"/>
  <c r="DP6" i="46"/>
  <c r="DT6" i="46"/>
  <c r="DK6" i="46"/>
  <c r="DO6" i="46"/>
  <c r="DS6" i="46"/>
  <c r="DJ6" i="46"/>
  <c r="DN6" i="46"/>
  <c r="DR6" i="46"/>
  <c r="CZ23" i="46"/>
  <c r="DD23" i="46"/>
  <c r="DH23" i="46"/>
  <c r="CY23" i="46"/>
  <c r="DC23" i="46"/>
  <c r="DG23" i="46"/>
  <c r="CX23" i="46"/>
  <c r="DB23" i="46"/>
  <c r="DF23" i="46"/>
  <c r="DA23" i="46"/>
  <c r="DE23" i="46"/>
  <c r="CW23" i="46"/>
  <c r="CN22" i="46"/>
  <c r="CR22" i="46"/>
  <c r="CV22" i="46"/>
  <c r="CM22" i="46"/>
  <c r="CQ22" i="46"/>
  <c r="CU22" i="46"/>
  <c r="CL22" i="46"/>
  <c r="CP22" i="46"/>
  <c r="CT22" i="46"/>
  <c r="CO22" i="46"/>
  <c r="CS22" i="46"/>
  <c r="CK22" i="46"/>
  <c r="N2" i="42"/>
  <c r="N3" i="42"/>
  <c r="O3" i="42"/>
  <c r="P3" i="42"/>
  <c r="Q3" i="42"/>
  <c r="R3" i="42"/>
  <c r="S3" i="42"/>
  <c r="T3" i="42"/>
  <c r="U3" i="42"/>
  <c r="V3" i="42"/>
  <c r="W3" i="42"/>
  <c r="X3" i="42"/>
  <c r="Y3" i="42"/>
  <c r="Q16" i="45"/>
  <c r="O10" i="5" s="1"/>
  <c r="R16" i="45"/>
  <c r="P10" i="5" s="1"/>
  <c r="S16" i="45"/>
  <c r="Q10" i="5" s="1"/>
  <c r="T16" i="45"/>
  <c r="R10" i="5" s="1"/>
  <c r="U16" i="45"/>
  <c r="S10" i="5" s="1"/>
  <c r="V16" i="45"/>
  <c r="T10" i="5" s="1"/>
  <c r="W16" i="45"/>
  <c r="U10" i="5" s="1"/>
  <c r="X16" i="45"/>
  <c r="V10" i="5" s="1"/>
  <c r="Y16" i="45"/>
  <c r="W10" i="5" s="1"/>
  <c r="D34" i="45"/>
  <c r="Q1" i="45"/>
  <c r="Q2" i="45"/>
  <c r="R2" i="45"/>
  <c r="S2" i="45"/>
  <c r="T2" i="45"/>
  <c r="U2" i="45"/>
  <c r="V2" i="45"/>
  <c r="W2" i="45"/>
  <c r="X2" i="45"/>
  <c r="Y2" i="45"/>
  <c r="Z2" i="45"/>
  <c r="AA2" i="45"/>
  <c r="AB2" i="45"/>
  <c r="Q9" i="22"/>
  <c r="O9" i="5" s="1"/>
  <c r="R9" i="22"/>
  <c r="P9" i="5" s="1"/>
  <c r="S9" i="22"/>
  <c r="Q9" i="5" s="1"/>
  <c r="T9" i="22"/>
  <c r="R9" i="5" s="1"/>
  <c r="U9" i="22"/>
  <c r="S9" i="5" s="1"/>
  <c r="V9" i="22"/>
  <c r="T9" i="5" s="1"/>
  <c r="W9" i="22"/>
  <c r="U9" i="5" s="1"/>
  <c r="X9" i="22"/>
  <c r="V9" i="5" s="1"/>
  <c r="Y9" i="22"/>
  <c r="W9" i="5" s="1"/>
  <c r="Z9" i="22"/>
  <c r="X9" i="5" s="1"/>
  <c r="Q1" i="22"/>
  <c r="Q2" i="22"/>
  <c r="R2" i="22"/>
  <c r="S2" i="22"/>
  <c r="T2" i="22"/>
  <c r="U2" i="22"/>
  <c r="V2" i="22"/>
  <c r="W2" i="22"/>
  <c r="X2" i="22"/>
  <c r="Y2" i="22"/>
  <c r="Z2" i="22"/>
  <c r="AA2" i="22"/>
  <c r="AB2" i="22"/>
  <c r="C35" i="28"/>
  <c r="N24" i="28"/>
  <c r="N3" i="28"/>
  <c r="N25" i="28" s="1"/>
  <c r="O3" i="28"/>
  <c r="O25" i="28" s="1"/>
  <c r="P3" i="28"/>
  <c r="P25" i="28" s="1"/>
  <c r="Q3" i="28"/>
  <c r="Q25" i="28" s="1"/>
  <c r="R3" i="28"/>
  <c r="R25" i="28" s="1"/>
  <c r="S3" i="28"/>
  <c r="S25" i="28" s="1"/>
  <c r="T3" i="28"/>
  <c r="T25" i="28" s="1"/>
  <c r="U3" i="28"/>
  <c r="U25" i="28" s="1"/>
  <c r="V3" i="28"/>
  <c r="V25" i="28" s="1"/>
  <c r="W3" i="28"/>
  <c r="W25" i="28" s="1"/>
  <c r="X3" i="28"/>
  <c r="X25" i="28" s="1"/>
  <c r="Y3" i="28"/>
  <c r="Y25" i="28" s="1"/>
  <c r="BL10" i="42" l="1"/>
  <c r="M28" i="45"/>
  <c r="L29" i="45"/>
  <c r="M27" i="45"/>
  <c r="L30" i="45"/>
  <c r="DV11" i="45"/>
  <c r="DZ11" i="45"/>
  <c r="ED11" i="45"/>
  <c r="DY11" i="45"/>
  <c r="EC11" i="45"/>
  <c r="DU11" i="45"/>
  <c r="DW11" i="45"/>
  <c r="EA11" i="45"/>
  <c r="EE11" i="45"/>
  <c r="DX11" i="45"/>
  <c r="EF11" i="45"/>
  <c r="EB11" i="45"/>
  <c r="DV12" i="45"/>
  <c r="DZ12" i="45"/>
  <c r="ED12" i="45"/>
  <c r="DY12" i="45"/>
  <c r="EC12" i="45"/>
  <c r="DU12" i="45"/>
  <c r="DW12" i="45"/>
  <c r="EA12" i="45"/>
  <c r="EE12" i="45"/>
  <c r="EF12" i="45"/>
  <c r="EB12" i="45"/>
  <c r="DX12" i="45"/>
  <c r="DO18" i="46"/>
  <c r="DR18" i="46"/>
  <c r="DL18" i="46"/>
  <c r="DP18" i="46"/>
  <c r="DM18" i="46"/>
  <c r="DT18" i="46"/>
  <c r="DQ18" i="46"/>
  <c r="DJ18" i="46"/>
  <c r="DS18" i="46"/>
  <c r="DK18" i="46"/>
  <c r="DI18" i="46"/>
  <c r="DI16" i="46"/>
  <c r="BF32" i="28"/>
  <c r="BG7" i="5" s="1"/>
  <c r="DK16" i="46"/>
  <c r="BA32" i="28"/>
  <c r="BB7" i="5" s="1"/>
  <c r="BG32" i="28"/>
  <c r="BH7" i="5" s="1"/>
  <c r="DN16" i="46"/>
  <c r="G6" i="44"/>
  <c r="BL27" i="28"/>
  <c r="BP27" i="28"/>
  <c r="BT27" i="28"/>
  <c r="BK27" i="28"/>
  <c r="BO27" i="28"/>
  <c r="BS27" i="28"/>
  <c r="BN27" i="28"/>
  <c r="BR27" i="28"/>
  <c r="BJ27" i="28"/>
  <c r="BM27" i="28"/>
  <c r="BQ27" i="28"/>
  <c r="BU27" i="28"/>
  <c r="G7" i="44"/>
  <c r="BL28" i="28"/>
  <c r="BP28" i="28"/>
  <c r="BT28" i="28"/>
  <c r="BK28" i="28"/>
  <c r="BO28" i="28"/>
  <c r="BS28" i="28"/>
  <c r="BN28" i="28"/>
  <c r="BR28" i="28"/>
  <c r="BJ28" i="28"/>
  <c r="BM28" i="28"/>
  <c r="BQ28" i="28"/>
  <c r="BU28" i="28"/>
  <c r="G8" i="44"/>
  <c r="BL29" i="28"/>
  <c r="BP29" i="28"/>
  <c r="BT29" i="28"/>
  <c r="BK29" i="28"/>
  <c r="BO29" i="28"/>
  <c r="BS29" i="28"/>
  <c r="BN29" i="28"/>
  <c r="BR29" i="28"/>
  <c r="BJ29" i="28"/>
  <c r="BM29" i="28"/>
  <c r="BQ29" i="28"/>
  <c r="BU29" i="28"/>
  <c r="G9" i="44"/>
  <c r="BL30" i="28"/>
  <c r="BP30" i="28"/>
  <c r="BT30" i="28"/>
  <c r="BK30" i="28"/>
  <c r="BO30" i="28"/>
  <c r="BS30" i="28"/>
  <c r="BN30" i="28"/>
  <c r="BR30" i="28"/>
  <c r="BJ30" i="28"/>
  <c r="BM30" i="28"/>
  <c r="BQ30" i="28"/>
  <c r="BU30" i="28"/>
  <c r="DP16" i="46"/>
  <c r="DJ16" i="46"/>
  <c r="F37" i="28"/>
  <c r="AZ32" i="28"/>
  <c r="BA7" i="5" s="1"/>
  <c r="BE32" i="28"/>
  <c r="BF7" i="5" s="1"/>
  <c r="F38" i="28"/>
  <c r="G5" i="44"/>
  <c r="BL26" i="28"/>
  <c r="BP26" i="28"/>
  <c r="BT26" i="28"/>
  <c r="BK26" i="28"/>
  <c r="BO26" i="28"/>
  <c r="BS26" i="28"/>
  <c r="BN26" i="28"/>
  <c r="BR26" i="28"/>
  <c r="BJ26" i="28"/>
  <c r="BM26" i="28"/>
  <c r="BQ26" i="28"/>
  <c r="BU26" i="28"/>
  <c r="F39" i="28"/>
  <c r="BD32" i="28"/>
  <c r="BE7" i="5" s="1"/>
  <c r="BI32" i="28"/>
  <c r="BJ7" i="5" s="1"/>
  <c r="AY32" i="28"/>
  <c r="AZ7" i="5" s="1"/>
  <c r="F40" i="28"/>
  <c r="DS16" i="46"/>
  <c r="DQ16" i="46"/>
  <c r="BB32" i="28"/>
  <c r="BC7" i="5" s="1"/>
  <c r="BH32" i="28"/>
  <c r="BI7" i="5" s="1"/>
  <c r="AX32" i="28"/>
  <c r="AY7" i="5" s="1"/>
  <c r="BC32" i="28"/>
  <c r="BD7" i="5" s="1"/>
  <c r="DT16" i="46"/>
  <c r="DM16" i="46"/>
  <c r="DO16" i="46"/>
  <c r="DL16" i="46"/>
  <c r="K49" i="46"/>
  <c r="W8" i="5"/>
  <c r="G8" i="5"/>
  <c r="U8" i="5"/>
  <c r="M8" i="5"/>
  <c r="E8" i="5"/>
  <c r="DJ20" i="46"/>
  <c r="DN20" i="46"/>
  <c r="DR20" i="46"/>
  <c r="DM20" i="46"/>
  <c r="DQ20" i="46"/>
  <c r="DI20" i="46"/>
  <c r="DL20" i="46"/>
  <c r="DP20" i="46"/>
  <c r="DT20" i="46"/>
  <c r="DK20" i="46"/>
  <c r="DO20" i="46"/>
  <c r="DS20" i="46"/>
  <c r="DJ17" i="46"/>
  <c r="DN17" i="46"/>
  <c r="DR17" i="46"/>
  <c r="DM17" i="46"/>
  <c r="DQ17" i="46"/>
  <c r="DI17" i="46"/>
  <c r="DL17" i="46"/>
  <c r="DP17" i="46"/>
  <c r="DT17" i="46"/>
  <c r="DK17" i="46"/>
  <c r="DO17" i="46"/>
  <c r="DS17" i="46"/>
  <c r="DJ19" i="46"/>
  <c r="DN19" i="46"/>
  <c r="DR19" i="46"/>
  <c r="DM19" i="46"/>
  <c r="DQ19" i="46"/>
  <c r="DI19" i="46"/>
  <c r="DL19" i="46"/>
  <c r="DP19" i="46"/>
  <c r="DT19" i="46"/>
  <c r="DK19" i="46"/>
  <c r="DO19" i="46"/>
  <c r="DS19" i="46"/>
  <c r="DJ15" i="46"/>
  <c r="DN15" i="46"/>
  <c r="DR15" i="46"/>
  <c r="DM15" i="46"/>
  <c r="DQ15" i="46"/>
  <c r="DI15" i="46"/>
  <c r="DL15" i="46"/>
  <c r="DP15" i="46"/>
  <c r="DT15" i="46"/>
  <c r="DK15" i="46"/>
  <c r="DO15" i="46"/>
  <c r="DS15" i="46"/>
  <c r="DJ14" i="46"/>
  <c r="DN14" i="46"/>
  <c r="DR14" i="46"/>
  <c r="DM14" i="46"/>
  <c r="DQ14" i="46"/>
  <c r="DI14" i="46"/>
  <c r="DL14" i="46"/>
  <c r="DP14" i="46"/>
  <c r="DT14" i="46"/>
  <c r="DK14" i="46"/>
  <c r="DO14" i="46"/>
  <c r="DS14" i="46"/>
  <c r="CZ22" i="46"/>
  <c r="DD22" i="46"/>
  <c r="DH22" i="46"/>
  <c r="CY22" i="46"/>
  <c r="DC22" i="46"/>
  <c r="DG22" i="46"/>
  <c r="CX22" i="46"/>
  <c r="DB22" i="46"/>
  <c r="DF22" i="46"/>
  <c r="DA22" i="46"/>
  <c r="DE22" i="46"/>
  <c r="CW22" i="46"/>
  <c r="DL23" i="46"/>
  <c r="DP23" i="46"/>
  <c r="DT23" i="46"/>
  <c r="DK23" i="46"/>
  <c r="DO23" i="46"/>
  <c r="DS23" i="46"/>
  <c r="DJ23" i="46"/>
  <c r="DN23" i="46"/>
  <c r="DR23" i="46"/>
  <c r="DM23" i="46"/>
  <c r="DQ23" i="46"/>
  <c r="DI23" i="46"/>
  <c r="T8" i="5"/>
  <c r="S8" i="5"/>
  <c r="K8" i="5"/>
  <c r="C61" i="5"/>
  <c r="R8" i="5"/>
  <c r="J8" i="5"/>
  <c r="C63" i="5"/>
  <c r="P8" i="5"/>
  <c r="H8" i="5"/>
  <c r="D61" i="5"/>
  <c r="C8" i="5"/>
  <c r="L8" i="5"/>
  <c r="D8" i="5"/>
  <c r="V8" i="5"/>
  <c r="N8" i="5"/>
  <c r="F8" i="5"/>
  <c r="L67" i="5"/>
  <c r="L73" i="5"/>
  <c r="L80" i="5"/>
  <c r="K67" i="5"/>
  <c r="K73" i="5"/>
  <c r="K80" i="5"/>
  <c r="J67" i="5"/>
  <c r="J73" i="5"/>
  <c r="J80" i="5"/>
  <c r="I73" i="5"/>
  <c r="H73" i="5"/>
  <c r="G73" i="5"/>
  <c r="F73" i="5"/>
  <c r="BO10" i="42" l="1"/>
  <c r="M30" i="45"/>
  <c r="M29" i="45"/>
  <c r="BM32" i="28"/>
  <c r="BN7" i="5" s="1"/>
  <c r="BS32" i="28"/>
  <c r="BT7" i="5" s="1"/>
  <c r="G40" i="28"/>
  <c r="BR32" i="28"/>
  <c r="BS7" i="5" s="1"/>
  <c r="H6" i="44"/>
  <c r="BX27" i="28"/>
  <c r="CB27" i="28"/>
  <c r="CF27" i="28"/>
  <c r="BW27" i="28"/>
  <c r="CA27" i="28"/>
  <c r="CE27" i="28"/>
  <c r="BZ27" i="28"/>
  <c r="CD27" i="28"/>
  <c r="BV27" i="28"/>
  <c r="BY27" i="28"/>
  <c r="CC27" i="28"/>
  <c r="CG27" i="28"/>
  <c r="H7" i="44"/>
  <c r="BX28" i="28"/>
  <c r="CB28" i="28"/>
  <c r="CF28" i="28"/>
  <c r="BW28" i="28"/>
  <c r="CA28" i="28"/>
  <c r="CE28" i="28"/>
  <c r="BZ28" i="28"/>
  <c r="CD28" i="28"/>
  <c r="BV28" i="28"/>
  <c r="BY28" i="28"/>
  <c r="CC28" i="28"/>
  <c r="CG28" i="28"/>
  <c r="BQ32" i="28"/>
  <c r="BR7" i="5" s="1"/>
  <c r="G37" i="28"/>
  <c r="BL32" i="28"/>
  <c r="BM7" i="5" s="1"/>
  <c r="H5" i="44"/>
  <c r="BX26" i="28"/>
  <c r="CB26" i="28"/>
  <c r="CF26" i="28"/>
  <c r="BW26" i="28"/>
  <c r="CA26" i="28"/>
  <c r="CE26" i="28"/>
  <c r="BZ26" i="28"/>
  <c r="CD26" i="28"/>
  <c r="BV26" i="28"/>
  <c r="BY26" i="28"/>
  <c r="CC26" i="28"/>
  <c r="CG26" i="28"/>
  <c r="H8" i="44"/>
  <c r="BX29" i="28"/>
  <c r="CB29" i="28"/>
  <c r="CF29" i="28"/>
  <c r="BW29" i="28"/>
  <c r="CA29" i="28"/>
  <c r="CE29" i="28"/>
  <c r="BZ29" i="28"/>
  <c r="CD29" i="28"/>
  <c r="BV29" i="28"/>
  <c r="BY29" i="28"/>
  <c r="CC29" i="28"/>
  <c r="CG29" i="28"/>
  <c r="BU32" i="28"/>
  <c r="BV7" i="5" s="1"/>
  <c r="BK32" i="28"/>
  <c r="BL7" i="5" s="1"/>
  <c r="G38" i="28"/>
  <c r="BP32" i="28"/>
  <c r="BQ7" i="5" s="1"/>
  <c r="H9" i="44"/>
  <c r="BX30" i="28"/>
  <c r="CB30" i="28"/>
  <c r="CF30" i="28"/>
  <c r="BW30" i="28"/>
  <c r="CA30" i="28"/>
  <c r="CE30" i="28"/>
  <c r="BZ30" i="28"/>
  <c r="CD30" i="28"/>
  <c r="BV30" i="28"/>
  <c r="BY30" i="28"/>
  <c r="CC30" i="28"/>
  <c r="CG30" i="28"/>
  <c r="BJ32" i="28"/>
  <c r="BK7" i="5" s="1"/>
  <c r="BO32" i="28"/>
  <c r="BP7" i="5" s="1"/>
  <c r="G39" i="28"/>
  <c r="BN32" i="28"/>
  <c r="BO7" i="5" s="1"/>
  <c r="BT32" i="28"/>
  <c r="BU7" i="5" s="1"/>
  <c r="I8" i="5"/>
  <c r="C62" i="5" s="1"/>
  <c r="Q8" i="5"/>
  <c r="L49" i="46"/>
  <c r="DL22" i="46"/>
  <c r="DP22" i="46"/>
  <c r="DT22" i="46"/>
  <c r="DK22" i="46"/>
  <c r="DO22" i="46"/>
  <c r="DS22" i="46"/>
  <c r="DJ22" i="46"/>
  <c r="DN22" i="46"/>
  <c r="DR22" i="46"/>
  <c r="DM22" i="46"/>
  <c r="DQ22" i="46"/>
  <c r="DI22" i="46"/>
  <c r="O8" i="5"/>
  <c r="C64" i="5"/>
  <c r="BR10" i="42" l="1"/>
  <c r="H40" i="28"/>
  <c r="CC32" i="28"/>
  <c r="CD7" i="5" s="1"/>
  <c r="CF32" i="28"/>
  <c r="CG7" i="5" s="1"/>
  <c r="I5" i="44"/>
  <c r="CJ26" i="28"/>
  <c r="CN26" i="28"/>
  <c r="CR26" i="28"/>
  <c r="CI26" i="28"/>
  <c r="CM26" i="28"/>
  <c r="CQ26" i="28"/>
  <c r="CL26" i="28"/>
  <c r="CP26" i="28"/>
  <c r="CH26" i="28"/>
  <c r="CK26" i="28"/>
  <c r="CO26" i="28"/>
  <c r="CS26" i="28"/>
  <c r="I7" i="44"/>
  <c r="CJ28" i="28"/>
  <c r="CN28" i="28"/>
  <c r="CR28" i="28"/>
  <c r="CI28" i="28"/>
  <c r="CM28" i="28"/>
  <c r="CQ28" i="28"/>
  <c r="CL28" i="28"/>
  <c r="CP28" i="28"/>
  <c r="CH28" i="28"/>
  <c r="CK28" i="28"/>
  <c r="CO28" i="28"/>
  <c r="CS28" i="28"/>
  <c r="BZ32" i="28"/>
  <c r="CA7" i="5" s="1"/>
  <c r="CG32" i="28"/>
  <c r="CH7" i="5" s="1"/>
  <c r="CD32" i="28"/>
  <c r="CE7" i="5" s="1"/>
  <c r="BW32" i="28"/>
  <c r="BX7" i="5" s="1"/>
  <c r="H37" i="28"/>
  <c r="I6" i="44"/>
  <c r="CJ27" i="28"/>
  <c r="CN27" i="28"/>
  <c r="CR27" i="28"/>
  <c r="CI27" i="28"/>
  <c r="CM27" i="28"/>
  <c r="CQ27" i="28"/>
  <c r="CL27" i="28"/>
  <c r="CP27" i="28"/>
  <c r="CH27" i="28"/>
  <c r="CK27" i="28"/>
  <c r="CO27" i="28"/>
  <c r="CS27" i="28"/>
  <c r="I8" i="44"/>
  <c r="CJ29" i="28"/>
  <c r="CN29" i="28"/>
  <c r="CR29" i="28"/>
  <c r="CI29" i="28"/>
  <c r="CM29" i="28"/>
  <c r="CQ29" i="28"/>
  <c r="CL29" i="28"/>
  <c r="CP29" i="28"/>
  <c r="CH29" i="28"/>
  <c r="CK29" i="28"/>
  <c r="CO29" i="28"/>
  <c r="CS29" i="28"/>
  <c r="BV32" i="28"/>
  <c r="BW7" i="5" s="1"/>
  <c r="CA32" i="28"/>
  <c r="CB7" i="5" s="1"/>
  <c r="H38" i="28"/>
  <c r="I9" i="44"/>
  <c r="CJ30" i="28"/>
  <c r="CN30" i="28"/>
  <c r="CR30" i="28"/>
  <c r="CI30" i="28"/>
  <c r="CM30" i="28"/>
  <c r="CQ30" i="28"/>
  <c r="CL30" i="28"/>
  <c r="CP30" i="28"/>
  <c r="CH30" i="28"/>
  <c r="CK30" i="28"/>
  <c r="CO30" i="28"/>
  <c r="CS30" i="28"/>
  <c r="H39" i="28"/>
  <c r="BX32" i="28"/>
  <c r="BY7" i="5" s="1"/>
  <c r="BY32" i="28"/>
  <c r="BZ7" i="5" s="1"/>
  <c r="CE32" i="28"/>
  <c r="CF7" i="5" s="1"/>
  <c r="CB32" i="28"/>
  <c r="CC7" i="5" s="1"/>
  <c r="B10" i="45"/>
  <c r="B28" i="45" s="1"/>
  <c r="B27" i="45"/>
  <c r="B3" i="45"/>
  <c r="B21" i="45" s="1"/>
  <c r="B4" i="45"/>
  <c r="B22" i="45" s="1"/>
  <c r="B5" i="45"/>
  <c r="B23" i="45" s="1"/>
  <c r="B6" i="45"/>
  <c r="B24" i="45" s="1"/>
  <c r="B7" i="45"/>
  <c r="B25" i="45" s="1"/>
  <c r="B8" i="45"/>
  <c r="B26" i="45" s="1"/>
  <c r="B11" i="45"/>
  <c r="B29" i="45" s="1"/>
  <c r="B12" i="45"/>
  <c r="B30" i="45" s="1"/>
  <c r="B13" i="45"/>
  <c r="B31" i="45" s="1"/>
  <c r="B8" i="22"/>
  <c r="B19" i="22" s="1"/>
  <c r="B119" i="18"/>
  <c r="BU10" i="42" l="1"/>
  <c r="I37" i="28"/>
  <c r="J9" i="44"/>
  <c r="CU30" i="28"/>
  <c r="CY30" i="28"/>
  <c r="DC30" i="28"/>
  <c r="DE30" i="28"/>
  <c r="CX30" i="28"/>
  <c r="DB30" i="28"/>
  <c r="CW30" i="28"/>
  <c r="DA30" i="28"/>
  <c r="CT30" i="28"/>
  <c r="CV30" i="28"/>
  <c r="CZ30" i="28"/>
  <c r="DD30" i="28"/>
  <c r="J8" i="44"/>
  <c r="CV29" i="28"/>
  <c r="CZ29" i="28"/>
  <c r="DD29" i="28"/>
  <c r="CU29" i="28"/>
  <c r="CY29" i="28"/>
  <c r="DC29" i="28"/>
  <c r="CX29" i="28"/>
  <c r="DB29" i="28"/>
  <c r="CT29" i="28"/>
  <c r="CW29" i="28"/>
  <c r="DA29" i="28"/>
  <c r="DE29" i="28"/>
  <c r="J5" i="44"/>
  <c r="CV26" i="28"/>
  <c r="CZ26" i="28"/>
  <c r="DD26" i="28"/>
  <c r="CU26" i="28"/>
  <c r="CY26" i="28"/>
  <c r="DC26" i="28"/>
  <c r="CX26" i="28"/>
  <c r="DB26" i="28"/>
  <c r="CT26" i="28"/>
  <c r="CW26" i="28"/>
  <c r="DA26" i="28"/>
  <c r="DE26" i="28"/>
  <c r="J7" i="44"/>
  <c r="CV28" i="28"/>
  <c r="CZ28" i="28"/>
  <c r="DD28" i="28"/>
  <c r="CU28" i="28"/>
  <c r="CY28" i="28"/>
  <c r="DC28" i="28"/>
  <c r="CX28" i="28"/>
  <c r="DB28" i="28"/>
  <c r="CT28" i="28"/>
  <c r="CW28" i="28"/>
  <c r="DA28" i="28"/>
  <c r="DE28" i="28"/>
  <c r="CP32" i="28"/>
  <c r="CQ7" i="5" s="1"/>
  <c r="CI32" i="28"/>
  <c r="CJ7" i="5" s="1"/>
  <c r="I40" i="28"/>
  <c r="I39" i="28"/>
  <c r="CH32" i="28"/>
  <c r="CI7" i="5" s="1"/>
  <c r="CM32" i="28"/>
  <c r="CN7" i="5" s="1"/>
  <c r="CJ32" i="28"/>
  <c r="CK7" i="5" s="1"/>
  <c r="I38" i="28"/>
  <c r="CK32" i="28"/>
  <c r="CL7" i="5" s="1"/>
  <c r="CQ32" i="28"/>
  <c r="CR7" i="5" s="1"/>
  <c r="CN32" i="28"/>
  <c r="CO7" i="5" s="1"/>
  <c r="J6" i="44"/>
  <c r="CV27" i="28"/>
  <c r="CZ27" i="28"/>
  <c r="DD27" i="28"/>
  <c r="CU27" i="28"/>
  <c r="CY27" i="28"/>
  <c r="DC27" i="28"/>
  <c r="CX27" i="28"/>
  <c r="DB27" i="28"/>
  <c r="CT27" i="28"/>
  <c r="CW27" i="28"/>
  <c r="DA27" i="28"/>
  <c r="DE27" i="28"/>
  <c r="CS32" i="28"/>
  <c r="CT7" i="5" s="1"/>
  <c r="CO32" i="28"/>
  <c r="CP7" i="5" s="1"/>
  <c r="CL32" i="28"/>
  <c r="CM7" i="5" s="1"/>
  <c r="CR32" i="28"/>
  <c r="CS7" i="5" s="1"/>
  <c r="AL40" i="18"/>
  <c r="M40" i="18"/>
  <c r="AH40" i="18"/>
  <c r="AG5" i="5"/>
  <c r="AF5" i="5"/>
  <c r="AH5" i="5"/>
  <c r="AN40" i="18"/>
  <c r="D12" i="45"/>
  <c r="D9" i="45"/>
  <c r="D13" i="45"/>
  <c r="D10" i="45"/>
  <c r="L59" i="5"/>
  <c r="K59" i="5"/>
  <c r="J59" i="5"/>
  <c r="I59" i="5"/>
  <c r="H59" i="5"/>
  <c r="G59" i="5"/>
  <c r="D11" i="45"/>
  <c r="D15" i="28"/>
  <c r="E15" i="28"/>
  <c r="M73" i="18" l="1"/>
  <c r="J19" i="5" s="1"/>
  <c r="J18" i="5" s="1"/>
  <c r="AL73" i="18"/>
  <c r="AI19" i="5" s="1"/>
  <c r="AI18" i="5" s="1"/>
  <c r="AN73" i="18"/>
  <c r="AK19" i="5" s="1"/>
  <c r="AK18" i="5" s="1"/>
  <c r="AH73" i="18"/>
  <c r="AE19" i="5" s="1"/>
  <c r="AE18" i="5" s="1"/>
  <c r="BX10" i="42"/>
  <c r="E40" i="18"/>
  <c r="J37" i="28"/>
  <c r="J38" i="28"/>
  <c r="CW32" i="28"/>
  <c r="CX7" i="5" s="1"/>
  <c r="DC32" i="28"/>
  <c r="DD7" i="5" s="1"/>
  <c r="CZ32" i="28"/>
  <c r="DA7" i="5" s="1"/>
  <c r="K9" i="44"/>
  <c r="DH30" i="28"/>
  <c r="DL30" i="28"/>
  <c r="DP30" i="28"/>
  <c r="DG30" i="28"/>
  <c r="DK30" i="28"/>
  <c r="DO30" i="28"/>
  <c r="DJ30" i="28"/>
  <c r="DN30" i="28"/>
  <c r="DF30" i="28"/>
  <c r="DI30" i="28"/>
  <c r="DM30" i="28"/>
  <c r="DQ30" i="28"/>
  <c r="K8" i="44"/>
  <c r="DH29" i="28"/>
  <c r="DL29" i="28"/>
  <c r="DP29" i="28"/>
  <c r="DG29" i="28"/>
  <c r="DK29" i="28"/>
  <c r="DO29" i="28"/>
  <c r="DJ29" i="28"/>
  <c r="DN29" i="28"/>
  <c r="DF29" i="28"/>
  <c r="DI29" i="28"/>
  <c r="DM29" i="28"/>
  <c r="DQ29" i="28"/>
  <c r="DA32" i="28"/>
  <c r="DB7" i="5" s="1"/>
  <c r="CX32" i="28"/>
  <c r="CY7" i="5" s="1"/>
  <c r="DD32" i="28"/>
  <c r="DE7" i="5" s="1"/>
  <c r="J40" i="28"/>
  <c r="K5" i="44"/>
  <c r="DH26" i="28"/>
  <c r="DL26" i="28"/>
  <c r="DP26" i="28"/>
  <c r="DG26" i="28"/>
  <c r="DK26" i="28"/>
  <c r="DO26" i="28"/>
  <c r="DJ26" i="28"/>
  <c r="DN26" i="28"/>
  <c r="DF26" i="28"/>
  <c r="DI26" i="28"/>
  <c r="DM26" i="28"/>
  <c r="DQ26" i="28"/>
  <c r="DE32" i="28"/>
  <c r="DF7" i="5" s="1"/>
  <c r="DB32" i="28"/>
  <c r="DC7" i="5" s="1"/>
  <c r="CU32" i="28"/>
  <c r="CV7" i="5" s="1"/>
  <c r="J39" i="28"/>
  <c r="K6" i="44"/>
  <c r="DH27" i="28"/>
  <c r="DL27" i="28"/>
  <c r="DP27" i="28"/>
  <c r="DG27" i="28"/>
  <c r="DK27" i="28"/>
  <c r="DO27" i="28"/>
  <c r="DJ27" i="28"/>
  <c r="DN27" i="28"/>
  <c r="DF27" i="28"/>
  <c r="DI27" i="28"/>
  <c r="DM27" i="28"/>
  <c r="DQ27" i="28"/>
  <c r="K7" i="44"/>
  <c r="DH28" i="28"/>
  <c r="DL28" i="28"/>
  <c r="DP28" i="28"/>
  <c r="DG28" i="28"/>
  <c r="DK28" i="28"/>
  <c r="DO28" i="28"/>
  <c r="DJ28" i="28"/>
  <c r="DN28" i="28"/>
  <c r="DF28" i="28"/>
  <c r="DI28" i="28"/>
  <c r="DM28" i="28"/>
  <c r="DQ28" i="28"/>
  <c r="CT32" i="28"/>
  <c r="CU7" i="5" s="1"/>
  <c r="CY32" i="28"/>
  <c r="CZ7" i="5" s="1"/>
  <c r="CV32" i="28"/>
  <c r="CW7" i="5" s="1"/>
  <c r="AJ5" i="5"/>
  <c r="AQ5" i="5"/>
  <c r="C4" i="5"/>
  <c r="F75" i="18" s="1"/>
  <c r="F76" i="18" s="1"/>
  <c r="I4" i="5"/>
  <c r="L75" i="18" s="1"/>
  <c r="S4" i="5"/>
  <c r="E4" i="5"/>
  <c r="H75" i="18" s="1"/>
  <c r="U4" i="5"/>
  <c r="L4" i="5"/>
  <c r="O75" i="18" s="1"/>
  <c r="Y4" i="5"/>
  <c r="P4" i="5"/>
  <c r="Q4" i="5"/>
  <c r="H4" i="5"/>
  <c r="K75" i="18" s="1"/>
  <c r="X4" i="5"/>
  <c r="K4" i="5"/>
  <c r="N75" i="18" s="1"/>
  <c r="M4" i="5"/>
  <c r="P75" i="18" s="1"/>
  <c r="T4" i="5"/>
  <c r="G4" i="5"/>
  <c r="J75" i="18" s="1"/>
  <c r="W4" i="5"/>
  <c r="AA4" i="5"/>
  <c r="AL74" i="18" l="1"/>
  <c r="AI5" i="5" s="1"/>
  <c r="AN74" i="18"/>
  <c r="AK5" i="5" s="1"/>
  <c r="M74" i="18"/>
  <c r="AH74" i="18"/>
  <c r="AE5" i="5" s="1"/>
  <c r="CA10" i="42"/>
  <c r="K37" i="28"/>
  <c r="DI32" i="28"/>
  <c r="DJ7" i="5" s="1"/>
  <c r="DL32" i="28"/>
  <c r="DM7" i="5" s="1"/>
  <c r="DT28" i="28"/>
  <c r="DX28" i="28"/>
  <c r="EB28" i="28"/>
  <c r="DS28" i="28"/>
  <c r="DW28" i="28"/>
  <c r="EA28" i="28"/>
  <c r="DV28" i="28"/>
  <c r="DZ28" i="28"/>
  <c r="DR28" i="28"/>
  <c r="DU28" i="28"/>
  <c r="DY28" i="28"/>
  <c r="EC28" i="28"/>
  <c r="DT30" i="28"/>
  <c r="DX30" i="28"/>
  <c r="EB30" i="28"/>
  <c r="DS30" i="28"/>
  <c r="DW30" i="28"/>
  <c r="EA30" i="28"/>
  <c r="DV30" i="28"/>
  <c r="DZ30" i="28"/>
  <c r="DR30" i="28"/>
  <c r="DU30" i="28"/>
  <c r="DY30" i="28"/>
  <c r="EC30" i="28"/>
  <c r="DT29" i="28"/>
  <c r="DX29" i="28"/>
  <c r="EB29" i="28"/>
  <c r="DS29" i="28"/>
  <c r="DW29" i="28"/>
  <c r="EA29" i="28"/>
  <c r="DV29" i="28"/>
  <c r="DZ29" i="28"/>
  <c r="DR29" i="28"/>
  <c r="DU29" i="28"/>
  <c r="DY29" i="28"/>
  <c r="EC29" i="28"/>
  <c r="K38" i="28"/>
  <c r="DM32" i="28"/>
  <c r="DN7" i="5" s="1"/>
  <c r="DJ32" i="28"/>
  <c r="DK7" i="5" s="1"/>
  <c r="DP32" i="28"/>
  <c r="DQ7" i="5" s="1"/>
  <c r="K40" i="28"/>
  <c r="DT26" i="28"/>
  <c r="DX26" i="28"/>
  <c r="EB26" i="28"/>
  <c r="DS26" i="28"/>
  <c r="DW26" i="28"/>
  <c r="EA26" i="28"/>
  <c r="DV26" i="28"/>
  <c r="DZ26" i="28"/>
  <c r="DR26" i="28"/>
  <c r="DU26" i="28"/>
  <c r="DY26" i="28"/>
  <c r="EC26" i="28"/>
  <c r="DQ32" i="28"/>
  <c r="DR7" i="5" s="1"/>
  <c r="DN32" i="28"/>
  <c r="DO7" i="5" s="1"/>
  <c r="DG32" i="28"/>
  <c r="DH7" i="5" s="1"/>
  <c r="K39" i="28"/>
  <c r="DO32" i="28"/>
  <c r="DP7" i="5" s="1"/>
  <c r="DT27" i="28"/>
  <c r="DX27" i="28"/>
  <c r="EB27" i="28"/>
  <c r="DS27" i="28"/>
  <c r="DW27" i="28"/>
  <c r="EA27" i="28"/>
  <c r="DV27" i="28"/>
  <c r="DZ27" i="28"/>
  <c r="DR27" i="28"/>
  <c r="DU27" i="28"/>
  <c r="DY27" i="28"/>
  <c r="EC27" i="28"/>
  <c r="DF32" i="28"/>
  <c r="DG7" i="5" s="1"/>
  <c r="DK32" i="28"/>
  <c r="DL7" i="5" s="1"/>
  <c r="DH32" i="28"/>
  <c r="DI7" i="5" s="1"/>
  <c r="AD5" i="5"/>
  <c r="O76" i="18"/>
  <c r="P76" i="18"/>
  <c r="N76" i="18"/>
  <c r="H76" i="18"/>
  <c r="L76" i="18"/>
  <c r="J76" i="18"/>
  <c r="K76" i="18"/>
  <c r="O4" i="5"/>
  <c r="V4" i="5"/>
  <c r="F4" i="5"/>
  <c r="I75" i="18" s="1"/>
  <c r="N4" i="5"/>
  <c r="R4" i="5"/>
  <c r="Z4" i="5"/>
  <c r="F59" i="5"/>
  <c r="B20" i="44"/>
  <c r="B21" i="44"/>
  <c r="B22" i="44"/>
  <c r="B23" i="44"/>
  <c r="B25" i="44"/>
  <c r="A20" i="44"/>
  <c r="A21" i="44"/>
  <c r="A22" i="44"/>
  <c r="A23" i="44"/>
  <c r="A24" i="44"/>
  <c r="A25" i="44"/>
  <c r="CD10" i="42" l="1"/>
  <c r="E59" i="5"/>
  <c r="AB3" i="45"/>
  <c r="AB5" i="45"/>
  <c r="AB6" i="45"/>
  <c r="AA8" i="45"/>
  <c r="AB8" i="45"/>
  <c r="AB4" i="45"/>
  <c r="D22" i="45" s="1"/>
  <c r="EC32" i="28"/>
  <c r="ED7" i="5" s="1"/>
  <c r="DZ32" i="28"/>
  <c r="EA7" i="5" s="1"/>
  <c r="DS32" i="28"/>
  <c r="DT7" i="5" s="1"/>
  <c r="L39" i="28"/>
  <c r="L40" i="28"/>
  <c r="L38" i="28"/>
  <c r="DR32" i="28"/>
  <c r="DS7" i="5" s="1"/>
  <c r="DW32" i="28"/>
  <c r="DX7" i="5" s="1"/>
  <c r="DT32" i="28"/>
  <c r="DU7" i="5" s="1"/>
  <c r="L37" i="28"/>
  <c r="DU32" i="28"/>
  <c r="DV7" i="5" s="1"/>
  <c r="EA32" i="28"/>
  <c r="EB7" i="5" s="1"/>
  <c r="DX32" i="28"/>
  <c r="DY7" i="5" s="1"/>
  <c r="DY32" i="28"/>
  <c r="DZ7" i="5" s="1"/>
  <c r="DV32" i="28"/>
  <c r="DW7" i="5" s="1"/>
  <c r="EB32" i="28"/>
  <c r="EC7" i="5" s="1"/>
  <c r="C25" i="44"/>
  <c r="C23" i="44"/>
  <c r="C22" i="44"/>
  <c r="C21" i="44"/>
  <c r="C20" i="44"/>
  <c r="I76" i="18"/>
  <c r="D58" i="5"/>
  <c r="D59" i="5"/>
  <c r="Z24" i="28"/>
  <c r="AO1" i="22"/>
  <c r="BA1" i="22"/>
  <c r="BM1" i="22"/>
  <c r="BY1" i="22"/>
  <c r="CK1" i="22"/>
  <c r="CW1" i="22"/>
  <c r="DI1" i="22"/>
  <c r="DU1" i="22"/>
  <c r="AC1" i="22"/>
  <c r="AO1" i="45"/>
  <c r="BA1" i="45"/>
  <c r="BM1" i="45"/>
  <c r="BY1" i="45"/>
  <c r="CK1" i="45"/>
  <c r="CW1" i="45"/>
  <c r="DI1" i="45"/>
  <c r="DU1" i="45"/>
  <c r="AC1" i="45"/>
  <c r="AL2" i="42"/>
  <c r="AX2" i="42"/>
  <c r="BJ2" i="42"/>
  <c r="BV2" i="42"/>
  <c r="CH2" i="42"/>
  <c r="CT2" i="42"/>
  <c r="DF2" i="42"/>
  <c r="DR2" i="42"/>
  <c r="Z2" i="42"/>
  <c r="F13" i="46"/>
  <c r="G13" i="46"/>
  <c r="H13" i="46"/>
  <c r="I13" i="46"/>
  <c r="J13" i="46"/>
  <c r="K13" i="46"/>
  <c r="L13" i="46"/>
  <c r="M13" i="46"/>
  <c r="O13" i="46"/>
  <c r="AA8" i="22" s="1"/>
  <c r="G4" i="46"/>
  <c r="H4" i="46"/>
  <c r="I4" i="46"/>
  <c r="J4" i="46"/>
  <c r="K4" i="46"/>
  <c r="L4" i="46"/>
  <c r="M4" i="46"/>
  <c r="F4" i="46"/>
  <c r="E4" i="46"/>
  <c r="E24" i="46" s="1"/>
  <c r="B32" i="46"/>
  <c r="B33" i="46"/>
  <c r="B34" i="46"/>
  <c r="B35" i="46"/>
  <c r="B36" i="46"/>
  <c r="B37" i="46"/>
  <c r="B38" i="46"/>
  <c r="B39" i="46"/>
  <c r="B40" i="46"/>
  <c r="B41" i="46"/>
  <c r="B42" i="46"/>
  <c r="B43" i="46"/>
  <c r="B44" i="46"/>
  <c r="B45" i="46"/>
  <c r="B46" i="46"/>
  <c r="B47" i="46"/>
  <c r="B48" i="46"/>
  <c r="B50" i="46"/>
  <c r="B31" i="46"/>
  <c r="CG10" i="42" l="1"/>
  <c r="D24" i="45"/>
  <c r="D23" i="45"/>
  <c r="D26" i="45"/>
  <c r="D21" i="45"/>
  <c r="M61" i="5"/>
  <c r="AA9" i="22"/>
  <c r="Y9" i="5" s="1"/>
  <c r="AG6" i="45"/>
  <c r="AK6" i="45"/>
  <c r="AC6" i="45"/>
  <c r="AD6" i="45"/>
  <c r="AI6" i="45"/>
  <c r="AN6" i="45"/>
  <c r="AH6" i="45"/>
  <c r="AM6" i="45"/>
  <c r="AF6" i="45"/>
  <c r="AL6" i="45"/>
  <c r="AE6" i="45"/>
  <c r="AJ6" i="45"/>
  <c r="AG5" i="45"/>
  <c r="AK5" i="45"/>
  <c r="AC5" i="45"/>
  <c r="AH5" i="45"/>
  <c r="AM5" i="45"/>
  <c r="AF5" i="45"/>
  <c r="AL5" i="45"/>
  <c r="AE5" i="45"/>
  <c r="AJ5" i="45"/>
  <c r="AI5" i="45"/>
  <c r="AD5" i="45"/>
  <c r="AN5" i="45"/>
  <c r="AG4" i="45"/>
  <c r="AK4" i="45"/>
  <c r="AC4" i="45"/>
  <c r="AF4" i="45"/>
  <c r="AL4" i="45"/>
  <c r="AE4" i="45"/>
  <c r="AJ4" i="45"/>
  <c r="AD4" i="45"/>
  <c r="AI4" i="45"/>
  <c r="AN4" i="45"/>
  <c r="AM4" i="45"/>
  <c r="AH4" i="45"/>
  <c r="AG3" i="45"/>
  <c r="AK3" i="45"/>
  <c r="AC3" i="45"/>
  <c r="AE3" i="45"/>
  <c r="AJ3" i="45"/>
  <c r="AD3" i="45"/>
  <c r="AI3" i="45"/>
  <c r="AN3" i="45"/>
  <c r="AH3" i="45"/>
  <c r="AM3" i="45"/>
  <c r="AF3" i="45"/>
  <c r="AL3" i="45"/>
  <c r="AD8" i="45"/>
  <c r="AH8" i="45"/>
  <c r="AG8" i="45"/>
  <c r="AK8" i="45"/>
  <c r="AC8" i="45"/>
  <c r="AE8" i="45"/>
  <c r="AL8" i="45"/>
  <c r="AJ8" i="45"/>
  <c r="AI8" i="45"/>
  <c r="AN8" i="45"/>
  <c r="AM8" i="45"/>
  <c r="AF8" i="45"/>
  <c r="L24" i="46"/>
  <c r="H24" i="46"/>
  <c r="G24" i="46"/>
  <c r="K24" i="46"/>
  <c r="M24" i="46"/>
  <c r="I24" i="46"/>
  <c r="N24" i="46"/>
  <c r="W12" i="42" s="1"/>
  <c r="J24" i="46"/>
  <c r="F24" i="46"/>
  <c r="D25" i="44"/>
  <c r="D23" i="44"/>
  <c r="D22" i="44"/>
  <c r="D21" i="44"/>
  <c r="D20" i="44"/>
  <c r="B24" i="44"/>
  <c r="CJ10" i="42" l="1"/>
  <c r="E21" i="45"/>
  <c r="E26" i="45"/>
  <c r="E22" i="45"/>
  <c r="E23" i="45"/>
  <c r="E24" i="45"/>
  <c r="AP5" i="45"/>
  <c r="AT5" i="45"/>
  <c r="AX5" i="45"/>
  <c r="AS5" i="45"/>
  <c r="AW5" i="45"/>
  <c r="AO5" i="45"/>
  <c r="AU5" i="45"/>
  <c r="AR5" i="45"/>
  <c r="AZ5" i="45"/>
  <c r="AQ5" i="45"/>
  <c r="AY5" i="45"/>
  <c r="AV5" i="45"/>
  <c r="AP6" i="45"/>
  <c r="AT6" i="45"/>
  <c r="AX6" i="45"/>
  <c r="AS6" i="45"/>
  <c r="AW6" i="45"/>
  <c r="AO6" i="45"/>
  <c r="AQ6" i="45"/>
  <c r="AY6" i="45"/>
  <c r="AV6" i="45"/>
  <c r="AU6" i="45"/>
  <c r="AZ6" i="45"/>
  <c r="AR6" i="45"/>
  <c r="AA7" i="45"/>
  <c r="AB7" i="45"/>
  <c r="AP4" i="45"/>
  <c r="AT4" i="45"/>
  <c r="AX4" i="45"/>
  <c r="AS4" i="45"/>
  <c r="AW4" i="45"/>
  <c r="AO4" i="45"/>
  <c r="AQ4" i="45"/>
  <c r="AY4" i="45"/>
  <c r="AV4" i="45"/>
  <c r="AU4" i="45"/>
  <c r="AZ4" i="45"/>
  <c r="AR4" i="45"/>
  <c r="AP3" i="45"/>
  <c r="AT3" i="45"/>
  <c r="AX3" i="45"/>
  <c r="AS3" i="45"/>
  <c r="AW3" i="45"/>
  <c r="AO3" i="45"/>
  <c r="AU3" i="45"/>
  <c r="AR3" i="45"/>
  <c r="AZ3" i="45"/>
  <c r="AQ3" i="45"/>
  <c r="AY3" i="45"/>
  <c r="AV3" i="45"/>
  <c r="AP8" i="45"/>
  <c r="AT8" i="45"/>
  <c r="AX8" i="45"/>
  <c r="AS8" i="45"/>
  <c r="AW8" i="45"/>
  <c r="AO8" i="45"/>
  <c r="AQ8" i="45"/>
  <c r="AY8" i="45"/>
  <c r="AV8" i="45"/>
  <c r="AU8" i="45"/>
  <c r="AR8" i="45"/>
  <c r="AZ8" i="45"/>
  <c r="J5" i="5"/>
  <c r="E25" i="44"/>
  <c r="C24" i="44"/>
  <c r="E23" i="44"/>
  <c r="E22" i="44"/>
  <c r="E21" i="44"/>
  <c r="E20" i="44"/>
  <c r="D45" i="46"/>
  <c r="D44" i="46"/>
  <c r="D35" i="46"/>
  <c r="CM10" i="42" l="1"/>
  <c r="D25" i="45"/>
  <c r="F26" i="45"/>
  <c r="F22" i="45"/>
  <c r="F24" i="45"/>
  <c r="F23" i="45"/>
  <c r="BB4" i="45"/>
  <c r="BF4" i="45"/>
  <c r="BJ4" i="45"/>
  <c r="BE4" i="45"/>
  <c r="BI4" i="45"/>
  <c r="BA4" i="45"/>
  <c r="BC4" i="45"/>
  <c r="BK4" i="45"/>
  <c r="BH4" i="45"/>
  <c r="BG4" i="45"/>
  <c r="BL4" i="45"/>
  <c r="BD4" i="45"/>
  <c r="BB8" i="45"/>
  <c r="BF8" i="45"/>
  <c r="BJ8" i="45"/>
  <c r="BE8" i="45"/>
  <c r="BI8" i="45"/>
  <c r="BA8" i="45"/>
  <c r="BC8" i="45"/>
  <c r="BK8" i="45"/>
  <c r="BH8" i="45"/>
  <c r="BG8" i="45"/>
  <c r="BL8" i="45"/>
  <c r="BD8" i="45"/>
  <c r="X10" i="5"/>
  <c r="BB3" i="45"/>
  <c r="BF3" i="45"/>
  <c r="BJ3" i="45"/>
  <c r="BE3" i="45"/>
  <c r="BI3" i="45"/>
  <c r="BA3" i="45"/>
  <c r="BG3" i="45"/>
  <c r="BD3" i="45"/>
  <c r="BL3" i="45"/>
  <c r="BC3" i="45"/>
  <c r="BK3" i="45"/>
  <c r="BH3" i="45"/>
  <c r="AG7" i="45"/>
  <c r="AK7" i="45"/>
  <c r="AC7" i="45"/>
  <c r="AE7" i="45"/>
  <c r="AJ7" i="45"/>
  <c r="AD7" i="45"/>
  <c r="AI7" i="45"/>
  <c r="AN7" i="45"/>
  <c r="AH7" i="45"/>
  <c r="AM7" i="45"/>
  <c r="AL7" i="45"/>
  <c r="AF7" i="45"/>
  <c r="BB6" i="45"/>
  <c r="BF6" i="45"/>
  <c r="BJ6" i="45"/>
  <c r="BE6" i="45"/>
  <c r="BI6" i="45"/>
  <c r="BA6" i="45"/>
  <c r="BC6" i="45"/>
  <c r="BK6" i="45"/>
  <c r="BH6" i="45"/>
  <c r="BG6" i="45"/>
  <c r="BL6" i="45"/>
  <c r="BD6" i="45"/>
  <c r="BB5" i="45"/>
  <c r="BF5" i="45"/>
  <c r="BJ5" i="45"/>
  <c r="BE5" i="45"/>
  <c r="BI5" i="45"/>
  <c r="BA5" i="45"/>
  <c r="BG5" i="45"/>
  <c r="BD5" i="45"/>
  <c r="BL5" i="45"/>
  <c r="BC5" i="45"/>
  <c r="BK5" i="45"/>
  <c r="BH5" i="45"/>
  <c r="F21" i="45"/>
  <c r="E46" i="46"/>
  <c r="D46" i="46"/>
  <c r="D36" i="46"/>
  <c r="F25" i="44"/>
  <c r="D24" i="44"/>
  <c r="F23" i="44"/>
  <c r="F22" i="44"/>
  <c r="F21" i="44"/>
  <c r="F20" i="44"/>
  <c r="E44" i="46"/>
  <c r="E45" i="46"/>
  <c r="E35" i="46"/>
  <c r="C8" i="41"/>
  <c r="D8" i="41" s="1"/>
  <c r="E8" i="41" s="1"/>
  <c r="F8" i="41" s="1"/>
  <c r="G8" i="41" s="1"/>
  <c r="H8" i="41" s="1"/>
  <c r="I8" i="41" s="1"/>
  <c r="J8" i="41" s="1"/>
  <c r="CP10" i="42" l="1"/>
  <c r="G22" i="45"/>
  <c r="G26" i="45"/>
  <c r="G23" i="45"/>
  <c r="G24" i="45"/>
  <c r="E25" i="45"/>
  <c r="G21" i="45"/>
  <c r="BN4" i="45"/>
  <c r="BR4" i="45"/>
  <c r="BV4" i="45"/>
  <c r="BQ4" i="45"/>
  <c r="BU4" i="45"/>
  <c r="BM4" i="45"/>
  <c r="BO4" i="45"/>
  <c r="BW4" i="45"/>
  <c r="BT4" i="45"/>
  <c r="BS4" i="45"/>
  <c r="BP4" i="45"/>
  <c r="BX4" i="45"/>
  <c r="BN8" i="45"/>
  <c r="BR8" i="45"/>
  <c r="BV8" i="45"/>
  <c r="BQ8" i="45"/>
  <c r="BU8" i="45"/>
  <c r="BM8" i="45"/>
  <c r="BO8" i="45"/>
  <c r="BW8" i="45"/>
  <c r="BT8" i="45"/>
  <c r="BS8" i="45"/>
  <c r="BX8" i="45"/>
  <c r="BP8" i="45"/>
  <c r="X8" i="5"/>
  <c r="BN5" i="45"/>
  <c r="BR5" i="45"/>
  <c r="BV5" i="45"/>
  <c r="BQ5" i="45"/>
  <c r="BU5" i="45"/>
  <c r="BM5" i="45"/>
  <c r="BS5" i="45"/>
  <c r="BP5" i="45"/>
  <c r="BX5" i="45"/>
  <c r="BO5" i="45"/>
  <c r="BW5" i="45"/>
  <c r="BT5" i="45"/>
  <c r="BN6" i="45"/>
  <c r="BR6" i="45"/>
  <c r="BV6" i="45"/>
  <c r="BQ6" i="45"/>
  <c r="BU6" i="45"/>
  <c r="BM6" i="45"/>
  <c r="BO6" i="45"/>
  <c r="BW6" i="45"/>
  <c r="BT6" i="45"/>
  <c r="BS6" i="45"/>
  <c r="BP6" i="45"/>
  <c r="BX6" i="45"/>
  <c r="BN3" i="45"/>
  <c r="BR3" i="45"/>
  <c r="BV3" i="45"/>
  <c r="BQ3" i="45"/>
  <c r="BU3" i="45"/>
  <c r="BM3" i="45"/>
  <c r="BS3" i="45"/>
  <c r="BP3" i="45"/>
  <c r="BX3" i="45"/>
  <c r="BO3" i="45"/>
  <c r="BW3" i="45"/>
  <c r="BT3" i="45"/>
  <c r="AP7" i="45"/>
  <c r="AT7" i="45"/>
  <c r="AX7" i="45"/>
  <c r="AS7" i="45"/>
  <c r="AW7" i="45"/>
  <c r="AO7" i="45"/>
  <c r="AU7" i="45"/>
  <c r="AR7" i="45"/>
  <c r="AZ7" i="45"/>
  <c r="AQ7" i="45"/>
  <c r="AY7" i="45"/>
  <c r="AV7" i="45"/>
  <c r="F46" i="46"/>
  <c r="E36" i="46"/>
  <c r="E31" i="46"/>
  <c r="J4" i="5"/>
  <c r="M75" i="18" s="1"/>
  <c r="G25" i="44"/>
  <c r="E24" i="44"/>
  <c r="G23" i="44"/>
  <c r="G22" i="44"/>
  <c r="G21" i="44"/>
  <c r="G20" i="44"/>
  <c r="F35" i="46"/>
  <c r="F44" i="46"/>
  <c r="F45" i="46"/>
  <c r="A5" i="28"/>
  <c r="CS10" i="42" l="1"/>
  <c r="H26" i="45"/>
  <c r="H22" i="45"/>
  <c r="F25" i="45"/>
  <c r="H24" i="45"/>
  <c r="H23" i="45"/>
  <c r="H21" i="45"/>
  <c r="BZ4" i="45"/>
  <c r="CD4" i="45"/>
  <c r="CH4" i="45"/>
  <c r="CC4" i="45"/>
  <c r="CG4" i="45"/>
  <c r="BY4" i="45"/>
  <c r="CA4" i="45"/>
  <c r="CI4" i="45"/>
  <c r="CF4" i="45"/>
  <c r="CE4" i="45"/>
  <c r="CJ4" i="45"/>
  <c r="CB4" i="45"/>
  <c r="BZ6" i="45"/>
  <c r="CD6" i="45"/>
  <c r="CH6" i="45"/>
  <c r="CC6" i="45"/>
  <c r="CG6" i="45"/>
  <c r="BY6" i="45"/>
  <c r="CA6" i="45"/>
  <c r="CI6" i="45"/>
  <c r="CF6" i="45"/>
  <c r="CE6" i="45"/>
  <c r="CB6" i="45"/>
  <c r="CJ6" i="45"/>
  <c r="BZ8" i="45"/>
  <c r="CD8" i="45"/>
  <c r="CH8" i="45"/>
  <c r="CC8" i="45"/>
  <c r="CG8" i="45"/>
  <c r="BY8" i="45"/>
  <c r="CA8" i="45"/>
  <c r="CI8" i="45"/>
  <c r="CF8" i="45"/>
  <c r="CE8" i="45"/>
  <c r="CB8" i="45"/>
  <c r="CJ8" i="45"/>
  <c r="BZ3" i="45"/>
  <c r="CD3" i="45"/>
  <c r="CH3" i="45"/>
  <c r="CC3" i="45"/>
  <c r="CG3" i="45"/>
  <c r="BY3" i="45"/>
  <c r="CE3" i="45"/>
  <c r="CB3" i="45"/>
  <c r="CJ3" i="45"/>
  <c r="CA3" i="45"/>
  <c r="CI3" i="45"/>
  <c r="CF3" i="45"/>
  <c r="BZ5" i="45"/>
  <c r="CD5" i="45"/>
  <c r="CH5" i="45"/>
  <c r="CC5" i="45"/>
  <c r="CG5" i="45"/>
  <c r="BY5" i="45"/>
  <c r="CE5" i="45"/>
  <c r="CB5" i="45"/>
  <c r="CJ5" i="45"/>
  <c r="CA5" i="45"/>
  <c r="CI5" i="45"/>
  <c r="CF5" i="45"/>
  <c r="BB7" i="45"/>
  <c r="BF7" i="45"/>
  <c r="BJ7" i="45"/>
  <c r="BE7" i="45"/>
  <c r="BI7" i="45"/>
  <c r="BA7" i="45"/>
  <c r="BG7" i="45"/>
  <c r="BD7" i="45"/>
  <c r="BL7" i="45"/>
  <c r="BC7" i="45"/>
  <c r="BK7" i="45"/>
  <c r="BH7" i="45"/>
  <c r="A15" i="28"/>
  <c r="A26" i="28" s="1"/>
  <c r="A36" i="28" s="1"/>
  <c r="G46" i="46"/>
  <c r="F36" i="46"/>
  <c r="F31" i="46"/>
  <c r="M76" i="18"/>
  <c r="H25" i="44"/>
  <c r="F24" i="44"/>
  <c r="H23" i="44"/>
  <c r="H22" i="44"/>
  <c r="H21" i="44"/>
  <c r="H20" i="44"/>
  <c r="G45" i="46"/>
  <c r="G44" i="46"/>
  <c r="H46" i="46"/>
  <c r="G35" i="46"/>
  <c r="CV10" i="42" l="1"/>
  <c r="G25" i="45"/>
  <c r="I23" i="45"/>
  <c r="I26" i="45"/>
  <c r="I24" i="45"/>
  <c r="I22" i="45"/>
  <c r="I21" i="45"/>
  <c r="CL3" i="45"/>
  <c r="CP3" i="45"/>
  <c r="CT3" i="45"/>
  <c r="CO3" i="45"/>
  <c r="CS3" i="45"/>
  <c r="CK3" i="45"/>
  <c r="CQ3" i="45"/>
  <c r="CN3" i="45"/>
  <c r="CV3" i="45"/>
  <c r="CM3" i="45"/>
  <c r="CU3" i="45"/>
  <c r="CR3" i="45"/>
  <c r="BN7" i="45"/>
  <c r="BR7" i="45"/>
  <c r="BV7" i="45"/>
  <c r="BQ7" i="45"/>
  <c r="BU7" i="45"/>
  <c r="BM7" i="45"/>
  <c r="BS7" i="45"/>
  <c r="BP7" i="45"/>
  <c r="BX7" i="45"/>
  <c r="BO7" i="45"/>
  <c r="BW7" i="45"/>
  <c r="BT7" i="45"/>
  <c r="CL8" i="45"/>
  <c r="CP8" i="45"/>
  <c r="CT8" i="45"/>
  <c r="CO8" i="45"/>
  <c r="CS8" i="45"/>
  <c r="CK8" i="45"/>
  <c r="CM8" i="45"/>
  <c r="CU8" i="45"/>
  <c r="CR8" i="45"/>
  <c r="CQ8" i="45"/>
  <c r="CN8" i="45"/>
  <c r="CV8" i="45"/>
  <c r="CL6" i="45"/>
  <c r="CP6" i="45"/>
  <c r="CT6" i="45"/>
  <c r="CO6" i="45"/>
  <c r="CS6" i="45"/>
  <c r="CK6" i="45"/>
  <c r="CM6" i="45"/>
  <c r="CU6" i="45"/>
  <c r="CR6" i="45"/>
  <c r="CQ6" i="45"/>
  <c r="CV6" i="45"/>
  <c r="CN6" i="45"/>
  <c r="CL4" i="45"/>
  <c r="CP4" i="45"/>
  <c r="CT4" i="45"/>
  <c r="CO4" i="45"/>
  <c r="CS4" i="45"/>
  <c r="CK4" i="45"/>
  <c r="CM4" i="45"/>
  <c r="CU4" i="45"/>
  <c r="CR4" i="45"/>
  <c r="CQ4" i="45"/>
  <c r="CV4" i="45"/>
  <c r="CN4" i="45"/>
  <c r="CL5" i="45"/>
  <c r="CP5" i="45"/>
  <c r="CT5" i="45"/>
  <c r="CO5" i="45"/>
  <c r="CS5" i="45"/>
  <c r="CK5" i="45"/>
  <c r="CQ5" i="45"/>
  <c r="CN5" i="45"/>
  <c r="CV5" i="45"/>
  <c r="CM5" i="45"/>
  <c r="CU5" i="45"/>
  <c r="CR5" i="45"/>
  <c r="G36" i="46"/>
  <c r="G31" i="46"/>
  <c r="I25" i="44"/>
  <c r="G24" i="44"/>
  <c r="I23" i="44"/>
  <c r="I22" i="44"/>
  <c r="I21" i="44"/>
  <c r="I20" i="44"/>
  <c r="H45" i="46"/>
  <c r="H36" i="46"/>
  <c r="H35" i="46"/>
  <c r="I46" i="46"/>
  <c r="H44" i="46"/>
  <c r="A5" i="44"/>
  <c r="CY10" i="42" l="1"/>
  <c r="J23" i="45"/>
  <c r="J22" i="45"/>
  <c r="J24" i="45"/>
  <c r="J26" i="45"/>
  <c r="H25" i="45"/>
  <c r="J21" i="45"/>
  <c r="D4" i="45"/>
  <c r="D6" i="45"/>
  <c r="D3" i="45"/>
  <c r="D5" i="45"/>
  <c r="D8" i="45"/>
  <c r="BZ7" i="45"/>
  <c r="CD7" i="45"/>
  <c r="CH7" i="45"/>
  <c r="CC7" i="45"/>
  <c r="CG7" i="45"/>
  <c r="BY7" i="45"/>
  <c r="CE7" i="45"/>
  <c r="CB7" i="45"/>
  <c r="CJ7" i="45"/>
  <c r="CA7" i="45"/>
  <c r="CI7" i="45"/>
  <c r="CF7" i="45"/>
  <c r="CX5" i="45"/>
  <c r="DB5" i="45"/>
  <c r="DF5" i="45"/>
  <c r="DA5" i="45"/>
  <c r="DE5" i="45"/>
  <c r="CW5" i="45"/>
  <c r="DC5" i="45"/>
  <c r="CZ5" i="45"/>
  <c r="DH5" i="45"/>
  <c r="CY5" i="45"/>
  <c r="DG5" i="45"/>
  <c r="DD5" i="45"/>
  <c r="CX6" i="45"/>
  <c r="DB6" i="45"/>
  <c r="DF6" i="45"/>
  <c r="DA6" i="45"/>
  <c r="DE6" i="45"/>
  <c r="CW6" i="45"/>
  <c r="CY6" i="45"/>
  <c r="DG6" i="45"/>
  <c r="DD6" i="45"/>
  <c r="DC6" i="45"/>
  <c r="DH6" i="45"/>
  <c r="CZ6" i="45"/>
  <c r="CX8" i="45"/>
  <c r="DB8" i="45"/>
  <c r="DF8" i="45"/>
  <c r="DA8" i="45"/>
  <c r="DE8" i="45"/>
  <c r="CW8" i="45"/>
  <c r="CY8" i="45"/>
  <c r="DG8" i="45"/>
  <c r="DD8" i="45"/>
  <c r="DC8" i="45"/>
  <c r="DH8" i="45"/>
  <c r="CZ8" i="45"/>
  <c r="CX3" i="45"/>
  <c r="DB3" i="45"/>
  <c r="DF3" i="45"/>
  <c r="DA3" i="45"/>
  <c r="DE3" i="45"/>
  <c r="CW3" i="45"/>
  <c r="DC3" i="45"/>
  <c r="CZ3" i="45"/>
  <c r="DH3" i="45"/>
  <c r="CY3" i="45"/>
  <c r="DG3" i="45"/>
  <c r="DD3" i="45"/>
  <c r="CX4" i="45"/>
  <c r="DB4" i="45"/>
  <c r="DF4" i="45"/>
  <c r="DA4" i="45"/>
  <c r="DE4" i="45"/>
  <c r="CW4" i="45"/>
  <c r="CY4" i="45"/>
  <c r="DG4" i="45"/>
  <c r="DD4" i="45"/>
  <c r="DC4" i="45"/>
  <c r="CZ4" i="45"/>
  <c r="DH4" i="45"/>
  <c r="H31" i="46"/>
  <c r="P21" i="46"/>
  <c r="C47" i="46" s="1"/>
  <c r="J25" i="44"/>
  <c r="H24" i="44"/>
  <c r="J23" i="44"/>
  <c r="J22" i="44"/>
  <c r="J21" i="44"/>
  <c r="J20" i="44"/>
  <c r="J46" i="46"/>
  <c r="I45" i="46"/>
  <c r="I35" i="46"/>
  <c r="I36" i="46"/>
  <c r="I44" i="46"/>
  <c r="DB10" i="42" l="1"/>
  <c r="K22" i="45"/>
  <c r="K26" i="45"/>
  <c r="K24" i="45"/>
  <c r="K23" i="45"/>
  <c r="I25" i="45"/>
  <c r="K21" i="45"/>
  <c r="DJ3" i="45"/>
  <c r="DN3" i="45"/>
  <c r="DR3" i="45"/>
  <c r="DM3" i="45"/>
  <c r="DQ3" i="45"/>
  <c r="DI3" i="45"/>
  <c r="DO3" i="45"/>
  <c r="DL3" i="45"/>
  <c r="DT3" i="45"/>
  <c r="DK3" i="45"/>
  <c r="DS3" i="45"/>
  <c r="DP3" i="45"/>
  <c r="CL7" i="45"/>
  <c r="CP7" i="45"/>
  <c r="CT7" i="45"/>
  <c r="CO7" i="45"/>
  <c r="CS7" i="45"/>
  <c r="CK7" i="45"/>
  <c r="CQ7" i="45"/>
  <c r="CN7" i="45"/>
  <c r="CV7" i="45"/>
  <c r="CM7" i="45"/>
  <c r="CU7" i="45"/>
  <c r="CR7" i="45"/>
  <c r="DJ4" i="45"/>
  <c r="DN4" i="45"/>
  <c r="DR4" i="45"/>
  <c r="DM4" i="45"/>
  <c r="DQ4" i="45"/>
  <c r="DI4" i="45"/>
  <c r="DK4" i="45"/>
  <c r="DS4" i="45"/>
  <c r="DP4" i="45"/>
  <c r="DO4" i="45"/>
  <c r="DL4" i="45"/>
  <c r="DT4" i="45"/>
  <c r="DJ6" i="45"/>
  <c r="DN6" i="45"/>
  <c r="DR6" i="45"/>
  <c r="DM6" i="45"/>
  <c r="DQ6" i="45"/>
  <c r="DI6" i="45"/>
  <c r="DK6" i="45"/>
  <c r="DS6" i="45"/>
  <c r="DP6" i="45"/>
  <c r="DO6" i="45"/>
  <c r="DL6" i="45"/>
  <c r="DT6" i="45"/>
  <c r="DJ8" i="45"/>
  <c r="DN8" i="45"/>
  <c r="DR8" i="45"/>
  <c r="DM8" i="45"/>
  <c r="DQ8" i="45"/>
  <c r="DI8" i="45"/>
  <c r="DK8" i="45"/>
  <c r="DS8" i="45"/>
  <c r="DP8" i="45"/>
  <c r="DO8" i="45"/>
  <c r="DT8" i="45"/>
  <c r="DL8" i="45"/>
  <c r="DJ5" i="45"/>
  <c r="DN5" i="45"/>
  <c r="DR5" i="45"/>
  <c r="DM5" i="45"/>
  <c r="DQ5" i="45"/>
  <c r="DI5" i="45"/>
  <c r="DO5" i="45"/>
  <c r="DL5" i="45"/>
  <c r="DT5" i="45"/>
  <c r="DK5" i="45"/>
  <c r="DS5" i="45"/>
  <c r="DP5" i="45"/>
  <c r="I31" i="46"/>
  <c r="P13" i="46"/>
  <c r="AB8" i="22" s="1"/>
  <c r="AB21" i="46"/>
  <c r="S21" i="46"/>
  <c r="V21" i="46"/>
  <c r="X21" i="46"/>
  <c r="Q21" i="46"/>
  <c r="T21" i="46"/>
  <c r="Z21" i="46"/>
  <c r="Y21" i="46"/>
  <c r="AA21" i="46"/>
  <c r="U21" i="46"/>
  <c r="R21" i="46"/>
  <c r="W21" i="46"/>
  <c r="K25" i="44"/>
  <c r="I24" i="44"/>
  <c r="K23" i="44"/>
  <c r="K22" i="44"/>
  <c r="K21" i="44"/>
  <c r="K20" i="44"/>
  <c r="J45" i="46"/>
  <c r="K46" i="46"/>
  <c r="J35" i="46"/>
  <c r="J36" i="46"/>
  <c r="J44" i="46"/>
  <c r="DE10" i="42" l="1"/>
  <c r="L23" i="45"/>
  <c r="L26" i="45"/>
  <c r="L24" i="45"/>
  <c r="L22" i="45"/>
  <c r="J25" i="45"/>
  <c r="L21" i="45"/>
  <c r="D7" i="45"/>
  <c r="DV5" i="45"/>
  <c r="DZ5" i="45"/>
  <c r="ED5" i="45"/>
  <c r="DY5" i="45"/>
  <c r="EC5" i="45"/>
  <c r="DU5" i="45"/>
  <c r="EA5" i="45"/>
  <c r="DX5" i="45"/>
  <c r="EF5" i="45"/>
  <c r="DW5" i="45"/>
  <c r="EE5" i="45"/>
  <c r="EB5" i="45"/>
  <c r="AB9" i="22"/>
  <c r="Z9" i="5" s="1"/>
  <c r="D19" i="22"/>
  <c r="DV3" i="45"/>
  <c r="DZ3" i="45"/>
  <c r="ED3" i="45"/>
  <c r="DY3" i="45"/>
  <c r="EC3" i="45"/>
  <c r="DU3" i="45"/>
  <c r="EA3" i="45"/>
  <c r="DX3" i="45"/>
  <c r="EF3" i="45"/>
  <c r="DW3" i="45"/>
  <c r="EE3" i="45"/>
  <c r="EB3" i="45"/>
  <c r="CX7" i="45"/>
  <c r="DB7" i="45"/>
  <c r="DF7" i="45"/>
  <c r="DA7" i="45"/>
  <c r="DE7" i="45"/>
  <c r="CW7" i="45"/>
  <c r="DC7" i="45"/>
  <c r="CZ7" i="45"/>
  <c r="DH7" i="45"/>
  <c r="CY7" i="45"/>
  <c r="DG7" i="45"/>
  <c r="DD7" i="45"/>
  <c r="DV4" i="45"/>
  <c r="DZ4" i="45"/>
  <c r="ED4" i="45"/>
  <c r="DY4" i="45"/>
  <c r="EC4" i="45"/>
  <c r="DU4" i="45"/>
  <c r="DW4" i="45"/>
  <c r="EE4" i="45"/>
  <c r="EB4" i="45"/>
  <c r="EA4" i="45"/>
  <c r="EF4" i="45"/>
  <c r="DX4" i="45"/>
  <c r="DV6" i="45"/>
  <c r="DZ6" i="45"/>
  <c r="ED6" i="45"/>
  <c r="DY6" i="45"/>
  <c r="EC6" i="45"/>
  <c r="DU6" i="45"/>
  <c r="DW6" i="45"/>
  <c r="EE6" i="45"/>
  <c r="EB6" i="45"/>
  <c r="EA6" i="45"/>
  <c r="DX6" i="45"/>
  <c r="EF6" i="45"/>
  <c r="DV8" i="45"/>
  <c r="DZ8" i="45"/>
  <c r="ED8" i="45"/>
  <c r="DY8" i="45"/>
  <c r="EC8" i="45"/>
  <c r="DU8" i="45"/>
  <c r="DW8" i="45"/>
  <c r="EE8" i="45"/>
  <c r="EB8" i="45"/>
  <c r="EA8" i="45"/>
  <c r="DX8" i="45"/>
  <c r="EF8" i="45"/>
  <c r="C39" i="46"/>
  <c r="J31" i="46"/>
  <c r="Y13" i="46"/>
  <c r="AK8" i="22" s="1"/>
  <c r="AK9" i="22" s="1"/>
  <c r="AI9" i="5" s="1"/>
  <c r="V13" i="46"/>
  <c r="AH8" i="22" s="1"/>
  <c r="AH9" i="22" s="1"/>
  <c r="AF9" i="5" s="1"/>
  <c r="Z13" i="46"/>
  <c r="AL8" i="22" s="1"/>
  <c r="AL9" i="22" s="1"/>
  <c r="AJ9" i="5" s="1"/>
  <c r="D47" i="46"/>
  <c r="D48" i="46"/>
  <c r="AN21" i="46"/>
  <c r="AC21" i="46"/>
  <c r="AL21" i="46"/>
  <c r="AD21" i="46"/>
  <c r="AE21" i="46"/>
  <c r="AF21" i="46"/>
  <c r="AI21" i="46"/>
  <c r="AK21" i="46"/>
  <c r="AH21" i="46"/>
  <c r="AG21" i="46"/>
  <c r="AM21" i="46"/>
  <c r="AJ21" i="46"/>
  <c r="T13" i="46"/>
  <c r="AF8" i="22" s="1"/>
  <c r="AF9" i="22" s="1"/>
  <c r="AD9" i="5" s="1"/>
  <c r="D40" i="46"/>
  <c r="Q13" i="46"/>
  <c r="AC8" i="22" s="1"/>
  <c r="W13" i="46"/>
  <c r="AI8" i="22" s="1"/>
  <c r="AI9" i="22" s="1"/>
  <c r="AG9" i="5" s="1"/>
  <c r="S13" i="46"/>
  <c r="AE8" i="22" s="1"/>
  <c r="AE9" i="22" s="1"/>
  <c r="AC9" i="5" s="1"/>
  <c r="D42" i="46"/>
  <c r="D37" i="46"/>
  <c r="D43" i="46"/>
  <c r="X13" i="46"/>
  <c r="AJ8" i="22" s="1"/>
  <c r="AJ9" i="22" s="1"/>
  <c r="AH9" i="5" s="1"/>
  <c r="AB13" i="46"/>
  <c r="AN8" i="22" s="1"/>
  <c r="AA13" i="46"/>
  <c r="AM8" i="22" s="1"/>
  <c r="AM9" i="22" s="1"/>
  <c r="AK9" i="5" s="1"/>
  <c r="R13" i="46"/>
  <c r="AD8" i="22" s="1"/>
  <c r="AD9" i="22" s="1"/>
  <c r="AB9" i="5" s="1"/>
  <c r="D38" i="46"/>
  <c r="U13" i="46"/>
  <c r="AG8" i="22" s="1"/>
  <c r="AG9" i="22" s="1"/>
  <c r="AE9" i="5" s="1"/>
  <c r="D41" i="46"/>
  <c r="J24" i="44"/>
  <c r="K44" i="46"/>
  <c r="K45" i="46"/>
  <c r="K35" i="46"/>
  <c r="K36" i="46"/>
  <c r="L46" i="46"/>
  <c r="DH10" i="42" l="1"/>
  <c r="M23" i="45"/>
  <c r="M26" i="45"/>
  <c r="M24" i="45"/>
  <c r="M22" i="45"/>
  <c r="K25" i="45"/>
  <c r="M21" i="45"/>
  <c r="D63" i="5"/>
  <c r="D20" i="22"/>
  <c r="DJ7" i="45"/>
  <c r="DN7" i="45"/>
  <c r="DR7" i="45"/>
  <c r="DM7" i="45"/>
  <c r="DQ7" i="45"/>
  <c r="DI7" i="45"/>
  <c r="DO7" i="45"/>
  <c r="DL7" i="45"/>
  <c r="DT7" i="45"/>
  <c r="DK7" i="45"/>
  <c r="DS7" i="45"/>
  <c r="DP7" i="45"/>
  <c r="E19" i="22"/>
  <c r="AC9" i="22"/>
  <c r="AA9" i="5" s="1"/>
  <c r="AN9" i="22"/>
  <c r="AL9" i="5" s="1"/>
  <c r="K31" i="46"/>
  <c r="AG13" i="46"/>
  <c r="AS8" i="22" s="1"/>
  <c r="AK13" i="46"/>
  <c r="AW8" i="22" s="1"/>
  <c r="AN13" i="46"/>
  <c r="AZ8" i="22" s="1"/>
  <c r="AH13" i="46"/>
  <c r="AT8" i="22" s="1"/>
  <c r="AE13" i="46"/>
  <c r="AQ8" i="22" s="1"/>
  <c r="AS21" i="46"/>
  <c r="AW21" i="46"/>
  <c r="AQ21" i="46"/>
  <c r="AP21" i="46"/>
  <c r="AY21" i="46"/>
  <c r="AT21" i="46"/>
  <c r="AX21" i="46"/>
  <c r="AV21" i="46"/>
  <c r="AO21" i="46"/>
  <c r="AR21" i="46"/>
  <c r="AU21" i="46"/>
  <c r="AZ21" i="46"/>
  <c r="E40" i="46"/>
  <c r="AL13" i="46"/>
  <c r="AX8" i="22" s="1"/>
  <c r="AF13" i="46"/>
  <c r="AR8" i="22" s="1"/>
  <c r="E43" i="46"/>
  <c r="AD13" i="46"/>
  <c r="AP8" i="22" s="1"/>
  <c r="E42" i="46"/>
  <c r="AM13" i="46"/>
  <c r="AY8" i="22" s="1"/>
  <c r="AJ13" i="46"/>
  <c r="AV8" i="22" s="1"/>
  <c r="E38" i="46"/>
  <c r="E41" i="46"/>
  <c r="AI13" i="46"/>
  <c r="AU8" i="22" s="1"/>
  <c r="AC13" i="46"/>
  <c r="AO8" i="22" s="1"/>
  <c r="AO9" i="22" s="1"/>
  <c r="AM9" i="5" s="1"/>
  <c r="D39" i="46"/>
  <c r="E48" i="46"/>
  <c r="E47" i="46"/>
  <c r="E37" i="46"/>
  <c r="K24" i="44"/>
  <c r="L45" i="46"/>
  <c r="L36" i="46"/>
  <c r="L35" i="46"/>
  <c r="L44" i="46"/>
  <c r="DK10" i="42" l="1"/>
  <c r="L25" i="45"/>
  <c r="E20" i="22"/>
  <c r="DV7" i="45"/>
  <c r="DZ7" i="45"/>
  <c r="ED7" i="45"/>
  <c r="DY7" i="45"/>
  <c r="EC7" i="45"/>
  <c r="DU7" i="45"/>
  <c r="EA7" i="45"/>
  <c r="DX7" i="45"/>
  <c r="EF7" i="45"/>
  <c r="DW7" i="45"/>
  <c r="EE7" i="45"/>
  <c r="EB7" i="45"/>
  <c r="E63" i="5"/>
  <c r="L31" i="46"/>
  <c r="AS13" i="46"/>
  <c r="BE8" i="22" s="1"/>
  <c r="F37" i="46"/>
  <c r="F42" i="46"/>
  <c r="F43" i="46"/>
  <c r="F48" i="46"/>
  <c r="F47" i="46"/>
  <c r="AZ13" i="46"/>
  <c r="BL8" i="22" s="1"/>
  <c r="AU13" i="46"/>
  <c r="BG8" i="22" s="1"/>
  <c r="BJ21" i="46"/>
  <c r="BK21" i="46"/>
  <c r="BI21" i="46"/>
  <c r="BD21" i="46"/>
  <c r="BL21" i="46"/>
  <c r="BA21" i="46"/>
  <c r="BG21" i="46"/>
  <c r="BF21" i="46"/>
  <c r="BC21" i="46"/>
  <c r="BE21" i="46"/>
  <c r="BB21" i="46"/>
  <c r="BH21" i="46"/>
  <c r="F38" i="46"/>
  <c r="AT13" i="46"/>
  <c r="BF8" i="22" s="1"/>
  <c r="F19" i="22"/>
  <c r="AR13" i="46"/>
  <c r="BD8" i="22" s="1"/>
  <c r="AY13" i="46"/>
  <c r="BK8" i="22" s="1"/>
  <c r="AV13" i="46"/>
  <c r="BH8" i="22" s="1"/>
  <c r="E39" i="46"/>
  <c r="AQ13" i="46"/>
  <c r="BC8" i="22" s="1"/>
  <c r="F41" i="46"/>
  <c r="AX13" i="46"/>
  <c r="BJ8" i="22" s="1"/>
  <c r="AW13" i="46"/>
  <c r="BI8" i="22" s="1"/>
  <c r="AP13" i="46"/>
  <c r="BB8" i="22" s="1"/>
  <c r="F40" i="46"/>
  <c r="AO13" i="46"/>
  <c r="BA8" i="22" s="1"/>
  <c r="DN10" i="42" l="1"/>
  <c r="M25" i="45"/>
  <c r="G19" i="22"/>
  <c r="BH13" i="46"/>
  <c r="BT8" i="22" s="1"/>
  <c r="BD13" i="46"/>
  <c r="BP8" i="22" s="1"/>
  <c r="BF13" i="46"/>
  <c r="BR8" i="22" s="1"/>
  <c r="BC13" i="46"/>
  <c r="BO8" i="22" s="1"/>
  <c r="BK13" i="46"/>
  <c r="BW8" i="22" s="1"/>
  <c r="G37" i="46"/>
  <c r="BI13" i="46"/>
  <c r="BU8" i="22" s="1"/>
  <c r="G42" i="46"/>
  <c r="G40" i="46"/>
  <c r="BA13" i="46"/>
  <c r="BM8" i="22" s="1"/>
  <c r="BE13" i="46"/>
  <c r="BQ8" i="22" s="1"/>
  <c r="G41" i="46"/>
  <c r="BR21" i="46"/>
  <c r="BW21" i="46"/>
  <c r="BV21" i="46"/>
  <c r="BS21" i="46"/>
  <c r="BU21" i="46"/>
  <c r="BT21" i="46"/>
  <c r="BM21" i="46"/>
  <c r="BO21" i="46"/>
  <c r="BQ21" i="46"/>
  <c r="BN21" i="46"/>
  <c r="BP21" i="46"/>
  <c r="BX21" i="46"/>
  <c r="BJ13" i="46"/>
  <c r="BV8" i="22" s="1"/>
  <c r="G43" i="46"/>
  <c r="BG13" i="46"/>
  <c r="BS8" i="22" s="1"/>
  <c r="G38" i="46"/>
  <c r="BB13" i="46"/>
  <c r="BN8" i="22" s="1"/>
  <c r="G47" i="46"/>
  <c r="G48" i="46"/>
  <c r="F39" i="46"/>
  <c r="BL13" i="46"/>
  <c r="BX8" i="22" s="1"/>
  <c r="DQ10" i="42" l="1"/>
  <c r="H19" i="22"/>
  <c r="BO13" i="46"/>
  <c r="CA8" i="22" s="1"/>
  <c r="BS13" i="46"/>
  <c r="CE8" i="22" s="1"/>
  <c r="H40" i="46"/>
  <c r="BM13" i="46"/>
  <c r="BY8" i="22" s="1"/>
  <c r="BW13" i="46"/>
  <c r="CI8" i="22" s="1"/>
  <c r="BN13" i="46"/>
  <c r="BZ8" i="22" s="1"/>
  <c r="H42" i="46"/>
  <c r="BV13" i="46"/>
  <c r="CH8" i="22" s="1"/>
  <c r="H43" i="46"/>
  <c r="BQ13" i="46"/>
  <c r="CC8" i="22" s="1"/>
  <c r="H37" i="46"/>
  <c r="BP13" i="46"/>
  <c r="CB8" i="22" s="1"/>
  <c r="G39" i="46"/>
  <c r="H38" i="46"/>
  <c r="BR13" i="46"/>
  <c r="CD8" i="22" s="1"/>
  <c r="H48" i="46"/>
  <c r="H47" i="46"/>
  <c r="BT13" i="46"/>
  <c r="CF8" i="22" s="1"/>
  <c r="CB21" i="46"/>
  <c r="BY21" i="46"/>
  <c r="CF21" i="46"/>
  <c r="BZ21" i="46"/>
  <c r="CJ21" i="46"/>
  <c r="CD21" i="46"/>
  <c r="CI21" i="46"/>
  <c r="CA21" i="46"/>
  <c r="CC21" i="46"/>
  <c r="CH21" i="46"/>
  <c r="CE21" i="46"/>
  <c r="CG21" i="46"/>
  <c r="BU13" i="46"/>
  <c r="CG8" i="22" s="1"/>
  <c r="BX13" i="46"/>
  <c r="CJ8" i="22" s="1"/>
  <c r="H41" i="46"/>
  <c r="DT10" i="42" l="1"/>
  <c r="I37" i="46"/>
  <c r="CH13" i="46"/>
  <c r="CT8" i="22" s="1"/>
  <c r="CE13" i="46"/>
  <c r="CQ8" i="22" s="1"/>
  <c r="CC13" i="46"/>
  <c r="CO8" i="22" s="1"/>
  <c r="I48" i="46"/>
  <c r="I47" i="46"/>
  <c r="CB13" i="46"/>
  <c r="CN8" i="22" s="1"/>
  <c r="CJ13" i="46"/>
  <c r="CV8" i="22" s="1"/>
  <c r="CS21" i="46"/>
  <c r="CQ21" i="46"/>
  <c r="CN21" i="46"/>
  <c r="CK21" i="46"/>
  <c r="CM21" i="46"/>
  <c r="CR21" i="46"/>
  <c r="CL21" i="46"/>
  <c r="CV21" i="46"/>
  <c r="CP21" i="46"/>
  <c r="CU21" i="46"/>
  <c r="CT21" i="46"/>
  <c r="CO21" i="46"/>
  <c r="CF13" i="46"/>
  <c r="CR8" i="22" s="1"/>
  <c r="CG13" i="46"/>
  <c r="CS8" i="22" s="1"/>
  <c r="CD13" i="46"/>
  <c r="CP8" i="22" s="1"/>
  <c r="H39" i="46"/>
  <c r="CA13" i="46"/>
  <c r="CM8" i="22" s="1"/>
  <c r="I38" i="46"/>
  <c r="I43" i="46"/>
  <c r="I19" i="22"/>
  <c r="I41" i="46"/>
  <c r="I40" i="46"/>
  <c r="BY13" i="46"/>
  <c r="CK8" i="22" s="1"/>
  <c r="I42" i="46"/>
  <c r="CI13" i="46"/>
  <c r="CU8" i="22" s="1"/>
  <c r="BZ13" i="46"/>
  <c r="CL8" i="22" s="1"/>
  <c r="DW10" i="42" l="1"/>
  <c r="J19" i="22"/>
  <c r="D8" i="22"/>
  <c r="CO13" i="46"/>
  <c r="DA8" i="22" s="1"/>
  <c r="J38" i="46"/>
  <c r="CV13" i="46"/>
  <c r="DH8" i="22" s="1"/>
  <c r="CL13" i="46"/>
  <c r="CX8" i="22" s="1"/>
  <c r="J43" i="46"/>
  <c r="CR13" i="46"/>
  <c r="DD8" i="22" s="1"/>
  <c r="J37" i="46"/>
  <c r="J41" i="46"/>
  <c r="CU13" i="46"/>
  <c r="DG8" i="22" s="1"/>
  <c r="CN13" i="46"/>
  <c r="CZ8" i="22" s="1"/>
  <c r="J42" i="46"/>
  <c r="I39" i="46"/>
  <c r="J40" i="46"/>
  <c r="CK13" i="46"/>
  <c r="CW8" i="22" s="1"/>
  <c r="CQ13" i="46"/>
  <c r="DC8" i="22" s="1"/>
  <c r="CT13" i="46"/>
  <c r="DF8" i="22" s="1"/>
  <c r="CS13" i="46"/>
  <c r="DE8" i="22" s="1"/>
  <c r="DA21" i="46"/>
  <c r="DB21" i="46"/>
  <c r="DE21" i="46"/>
  <c r="CZ21" i="46"/>
  <c r="DH21" i="46"/>
  <c r="CY21" i="46"/>
  <c r="DC21" i="46"/>
  <c r="CW21" i="46"/>
  <c r="CX21" i="46"/>
  <c r="DG21" i="46"/>
  <c r="DD21" i="46"/>
  <c r="DF21" i="46"/>
  <c r="CP13" i="46"/>
  <c r="DB8" i="22" s="1"/>
  <c r="CM13" i="46"/>
  <c r="CY8" i="22" s="1"/>
  <c r="J48" i="46"/>
  <c r="J47" i="46"/>
  <c r="DR3" i="42"/>
  <c r="DS3" i="42"/>
  <c r="DT3" i="42"/>
  <c r="DU3" i="42"/>
  <c r="DV3" i="42"/>
  <c r="DW3" i="42"/>
  <c r="DX3" i="42"/>
  <c r="DY3" i="42"/>
  <c r="DZ3" i="42"/>
  <c r="EA3" i="42"/>
  <c r="EB3" i="42"/>
  <c r="EC3" i="42"/>
  <c r="DF3" i="42"/>
  <c r="DG3" i="42"/>
  <c r="DH3" i="42"/>
  <c r="DI3" i="42"/>
  <c r="DJ3" i="42"/>
  <c r="DK3" i="42"/>
  <c r="DL3" i="42"/>
  <c r="DM3" i="42"/>
  <c r="DN3" i="42"/>
  <c r="DO3" i="42"/>
  <c r="DP3" i="42"/>
  <c r="DQ3" i="42"/>
  <c r="CT3" i="42"/>
  <c r="CU3" i="42"/>
  <c r="CV3" i="42"/>
  <c r="CW3" i="42"/>
  <c r="CX3" i="42"/>
  <c r="CY3" i="42"/>
  <c r="CZ3" i="42"/>
  <c r="DA3" i="42"/>
  <c r="DB3" i="42"/>
  <c r="DC3" i="42"/>
  <c r="DD3" i="42"/>
  <c r="DE3" i="42"/>
  <c r="DU2" i="45"/>
  <c r="DV2" i="45"/>
  <c r="DW2" i="45"/>
  <c r="DX2" i="45"/>
  <c r="DY2" i="45"/>
  <c r="DZ2" i="45"/>
  <c r="EA2" i="45"/>
  <c r="EB2" i="45"/>
  <c r="EC2" i="45"/>
  <c r="ED2" i="45"/>
  <c r="EE2" i="45"/>
  <c r="EF2" i="45"/>
  <c r="DI2" i="45"/>
  <c r="DJ2" i="45"/>
  <c r="DK2" i="45"/>
  <c r="DL2" i="45"/>
  <c r="DM2" i="45"/>
  <c r="DN2" i="45"/>
  <c r="DO2" i="45"/>
  <c r="DP2" i="45"/>
  <c r="DQ2" i="45"/>
  <c r="DR2" i="45"/>
  <c r="DS2" i="45"/>
  <c r="DT2" i="45"/>
  <c r="CW2" i="45"/>
  <c r="CX2" i="45"/>
  <c r="CY2" i="45"/>
  <c r="CZ2" i="45"/>
  <c r="DA2" i="45"/>
  <c r="DB2" i="45"/>
  <c r="DC2" i="45"/>
  <c r="DD2" i="45"/>
  <c r="DE2" i="45"/>
  <c r="DF2" i="45"/>
  <c r="DG2" i="45"/>
  <c r="DH2" i="45"/>
  <c r="DZ10" i="42" l="1"/>
  <c r="K19" i="22"/>
  <c r="DA13" i="46"/>
  <c r="DM8" i="22" s="1"/>
  <c r="CX13" i="46"/>
  <c r="DJ8" i="22" s="1"/>
  <c r="K37" i="46"/>
  <c r="DE13" i="46"/>
  <c r="DQ8" i="22" s="1"/>
  <c r="K41" i="46"/>
  <c r="J39" i="46"/>
  <c r="CZ13" i="46"/>
  <c r="DL8" i="22" s="1"/>
  <c r="K42" i="46"/>
  <c r="DI21" i="46"/>
  <c r="DM21" i="46"/>
  <c r="DK21" i="46"/>
  <c r="DQ21" i="46"/>
  <c r="DJ21" i="46"/>
  <c r="DO21" i="46"/>
  <c r="DT21" i="46"/>
  <c r="DL21" i="46"/>
  <c r="DS21" i="46"/>
  <c r="DP21" i="46"/>
  <c r="DN21" i="46"/>
  <c r="DR21" i="46"/>
  <c r="DF13" i="46"/>
  <c r="DR8" i="22" s="1"/>
  <c r="K38" i="46"/>
  <c r="CY13" i="46"/>
  <c r="DK8" i="22" s="1"/>
  <c r="K40" i="46"/>
  <c r="CW13" i="46"/>
  <c r="DI8" i="22" s="1"/>
  <c r="DH13" i="46"/>
  <c r="DT8" i="22" s="1"/>
  <c r="DB13" i="46"/>
  <c r="DN8" i="22" s="1"/>
  <c r="K47" i="46"/>
  <c r="K48" i="46"/>
  <c r="K43" i="46"/>
  <c r="DC13" i="46"/>
  <c r="DO8" i="22" s="1"/>
  <c r="DD13" i="46"/>
  <c r="DP8" i="22" s="1"/>
  <c r="DG13" i="46"/>
  <c r="DS8" i="22" s="1"/>
  <c r="DI2" i="22"/>
  <c r="DJ2" i="22"/>
  <c r="DK2" i="22"/>
  <c r="DL2" i="22"/>
  <c r="DM2" i="22"/>
  <c r="DN2" i="22"/>
  <c r="DO2" i="22"/>
  <c r="DP2" i="22"/>
  <c r="DQ2" i="22"/>
  <c r="DR2" i="22"/>
  <c r="DS2" i="22"/>
  <c r="DT2" i="22"/>
  <c r="DU2" i="22"/>
  <c r="DV2" i="22"/>
  <c r="DW2" i="22"/>
  <c r="DX2" i="22"/>
  <c r="DY2" i="22"/>
  <c r="DZ2" i="22"/>
  <c r="EA2" i="22"/>
  <c r="EB2" i="22"/>
  <c r="EC2" i="22"/>
  <c r="ED2" i="22"/>
  <c r="EE2" i="22"/>
  <c r="EF2" i="22"/>
  <c r="CW2" i="22"/>
  <c r="CX2" i="22"/>
  <c r="CY2" i="22"/>
  <c r="CZ2" i="22"/>
  <c r="DA2" i="22"/>
  <c r="DB2" i="22"/>
  <c r="DC2" i="22"/>
  <c r="DD2" i="22"/>
  <c r="DE2" i="22"/>
  <c r="DF2" i="22"/>
  <c r="DG2" i="22"/>
  <c r="DH2" i="22"/>
  <c r="EC10" i="42" l="1"/>
  <c r="L19" i="22"/>
  <c r="DT13" i="46"/>
  <c r="EF8" i="22" s="1"/>
  <c r="DN13" i="46"/>
  <c r="DZ8" i="22" s="1"/>
  <c r="DM13" i="46"/>
  <c r="DY8" i="22" s="1"/>
  <c r="DQ13" i="46"/>
  <c r="EC8" i="22" s="1"/>
  <c r="DJ13" i="46"/>
  <c r="DV8" i="22" s="1"/>
  <c r="DP13" i="46"/>
  <c r="EB8" i="22" s="1"/>
  <c r="L38" i="46"/>
  <c r="DO13" i="46"/>
  <c r="EA8" i="22" s="1"/>
  <c r="DR13" i="46"/>
  <c r="ED8" i="22" s="1"/>
  <c r="L42" i="46"/>
  <c r="DL13" i="46"/>
  <c r="DX8" i="22" s="1"/>
  <c r="L37" i="46"/>
  <c r="K39" i="46"/>
  <c r="L40" i="46"/>
  <c r="DI13" i="46"/>
  <c r="DU8" i="22" s="1"/>
  <c r="DK13" i="46"/>
  <c r="DW8" i="22" s="1"/>
  <c r="L48" i="46"/>
  <c r="L47" i="46"/>
  <c r="L41" i="46"/>
  <c r="DS13" i="46"/>
  <c r="EE8" i="22" s="1"/>
  <c r="L43" i="46"/>
  <c r="J35" i="28"/>
  <c r="K35" i="28"/>
  <c r="L35" i="28"/>
  <c r="DR24" i="28"/>
  <c r="DR3" i="28"/>
  <c r="DR25" i="28" s="1"/>
  <c r="DS3" i="28"/>
  <c r="DS25" i="28" s="1"/>
  <c r="DT3" i="28"/>
  <c r="DT25" i="28" s="1"/>
  <c r="DU3" i="28"/>
  <c r="DU25" i="28" s="1"/>
  <c r="DV3" i="28"/>
  <c r="DV25" i="28" s="1"/>
  <c r="DW3" i="28"/>
  <c r="DW25" i="28" s="1"/>
  <c r="DX3" i="28"/>
  <c r="DX25" i="28" s="1"/>
  <c r="DY3" i="28"/>
  <c r="DY25" i="28" s="1"/>
  <c r="DZ3" i="28"/>
  <c r="DZ25" i="28" s="1"/>
  <c r="EA3" i="28"/>
  <c r="EA25" i="28" s="1"/>
  <c r="EB3" i="28"/>
  <c r="EB25" i="28" s="1"/>
  <c r="EC3" i="28"/>
  <c r="EC25" i="28" s="1"/>
  <c r="DF24" i="28"/>
  <c r="DF3" i="28"/>
  <c r="DF25" i="28" s="1"/>
  <c r="DG3" i="28"/>
  <c r="DG25" i="28" s="1"/>
  <c r="DH3" i="28"/>
  <c r="DH25" i="28" s="1"/>
  <c r="DI3" i="28"/>
  <c r="DI25" i="28" s="1"/>
  <c r="DJ3" i="28"/>
  <c r="DJ25" i="28" s="1"/>
  <c r="DK3" i="28"/>
  <c r="DK25" i="28" s="1"/>
  <c r="DL3" i="28"/>
  <c r="DL25" i="28" s="1"/>
  <c r="DM3" i="28"/>
  <c r="DM25" i="28" s="1"/>
  <c r="DN3" i="28"/>
  <c r="DN25" i="28" s="1"/>
  <c r="DO3" i="28"/>
  <c r="DO25" i="28" s="1"/>
  <c r="DP3" i="28"/>
  <c r="DP25" i="28" s="1"/>
  <c r="DQ3" i="28"/>
  <c r="DQ25" i="28" s="1"/>
  <c r="DH4" i="5"/>
  <c r="DI4" i="5"/>
  <c r="DJ4" i="5"/>
  <c r="DK4" i="5"/>
  <c r="DL4" i="5"/>
  <c r="DM4" i="5"/>
  <c r="DN4" i="5"/>
  <c r="DO4" i="5"/>
  <c r="DP4" i="5"/>
  <c r="DQ4" i="5"/>
  <c r="DR4" i="5"/>
  <c r="CV4" i="5"/>
  <c r="CW4" i="5"/>
  <c r="CX4" i="5"/>
  <c r="CY4" i="5"/>
  <c r="CZ4" i="5"/>
  <c r="DA4" i="5"/>
  <c r="DB4" i="5"/>
  <c r="DC4" i="5"/>
  <c r="DD4" i="5"/>
  <c r="DE4" i="5"/>
  <c r="DF4" i="5"/>
  <c r="CT24" i="28"/>
  <c r="CT3" i="28"/>
  <c r="CT25" i="28" s="1"/>
  <c r="CU3" i="28"/>
  <c r="CU25" i="28" s="1"/>
  <c r="CV3" i="28"/>
  <c r="CV25" i="28" s="1"/>
  <c r="CW3" i="28"/>
  <c r="CW25" i="28" s="1"/>
  <c r="CX3" i="28"/>
  <c r="CX25" i="28" s="1"/>
  <c r="CY3" i="28"/>
  <c r="CY25" i="28" s="1"/>
  <c r="CZ3" i="28"/>
  <c r="CZ25" i="28" s="1"/>
  <c r="DA3" i="28"/>
  <c r="DA25" i="28" s="1"/>
  <c r="DB3" i="28"/>
  <c r="DB25" i="28" s="1"/>
  <c r="DC3" i="28"/>
  <c r="DC25" i="28" s="1"/>
  <c r="DD3" i="28"/>
  <c r="DD25" i="28" s="1"/>
  <c r="DE3" i="28"/>
  <c r="DE25" i="28" s="1"/>
  <c r="M19" i="22" l="1"/>
  <c r="L39" i="46"/>
  <c r="L72" i="5"/>
  <c r="K72" i="5"/>
  <c r="CU4" i="5"/>
  <c r="K58" i="5" s="1"/>
  <c r="DG4" i="5"/>
  <c r="L58" i="5" s="1"/>
  <c r="L15" i="28"/>
  <c r="K15" i="28"/>
  <c r="J15" i="28"/>
  <c r="J21" i="28" l="1"/>
  <c r="L21" i="28"/>
  <c r="K21" i="28"/>
  <c r="J19" i="42" l="1"/>
  <c r="K19" i="42" l="1"/>
  <c r="L19" i="42" l="1"/>
  <c r="O135" i="18" l="1"/>
  <c r="O133" i="18"/>
  <c r="O4" i="46" l="1"/>
  <c r="P4" i="46"/>
  <c r="O24" i="46" l="1"/>
  <c r="X12" i="42" s="1"/>
  <c r="AA15" i="45"/>
  <c r="P24" i="46"/>
  <c r="Y12" i="42" s="1"/>
  <c r="AB15" i="45"/>
  <c r="AB16" i="45" s="1"/>
  <c r="C30" i="46"/>
  <c r="X4" i="46"/>
  <c r="AJ15" i="45" s="1"/>
  <c r="T4" i="46"/>
  <c r="AF15" i="45" s="1"/>
  <c r="AB4" i="46"/>
  <c r="AN15" i="45" s="1"/>
  <c r="D33" i="46"/>
  <c r="Y4" i="46"/>
  <c r="Z4" i="46"/>
  <c r="V4" i="46"/>
  <c r="U4" i="46"/>
  <c r="D32" i="46"/>
  <c r="Q4" i="46"/>
  <c r="W4" i="46"/>
  <c r="AA4" i="46"/>
  <c r="D34" i="46"/>
  <c r="R4" i="46"/>
  <c r="S4" i="46"/>
  <c r="AA16" i="45" l="1"/>
  <c r="Y10" i="5" s="1"/>
  <c r="Y8" i="5" s="1"/>
  <c r="D33" i="45"/>
  <c r="Z10" i="5"/>
  <c r="Z8" i="5" s="1"/>
  <c r="Z19" i="5" s="1"/>
  <c r="Z18" i="5" s="1"/>
  <c r="AC75" i="18" s="1"/>
  <c r="AC76" i="18" s="1"/>
  <c r="C50" i="46"/>
  <c r="R24" i="46"/>
  <c r="AA12" i="42" s="1"/>
  <c r="AD15" i="45"/>
  <c r="V24" i="46"/>
  <c r="AE12" i="42" s="1"/>
  <c r="AH15" i="45"/>
  <c r="C21" i="42"/>
  <c r="U24" i="46"/>
  <c r="AD12" i="42" s="1"/>
  <c r="AG15" i="45"/>
  <c r="AG16" i="45" s="1"/>
  <c r="S24" i="46"/>
  <c r="AB12" i="42" s="1"/>
  <c r="AE15" i="45"/>
  <c r="W24" i="46"/>
  <c r="AF12" i="42" s="1"/>
  <c r="AI15" i="45"/>
  <c r="AA24" i="46"/>
  <c r="AJ12" i="42" s="1"/>
  <c r="AM15" i="45"/>
  <c r="Y24" i="46"/>
  <c r="AH12" i="42" s="1"/>
  <c r="AK15" i="45"/>
  <c r="AK16" i="45" s="1"/>
  <c r="Q24" i="46"/>
  <c r="Z12" i="42" s="1"/>
  <c r="AC15" i="45"/>
  <c r="Z24" i="46"/>
  <c r="AI12" i="42" s="1"/>
  <c r="AL15" i="45"/>
  <c r="AB24" i="46"/>
  <c r="AK12" i="42" s="1"/>
  <c r="X24" i="46"/>
  <c r="AG12" i="42" s="1"/>
  <c r="T24" i="46"/>
  <c r="AC12" i="42" s="1"/>
  <c r="AN4" i="46"/>
  <c r="AE4" i="46"/>
  <c r="AQ15" i="45" s="1"/>
  <c r="AI4" i="46"/>
  <c r="AD4" i="46"/>
  <c r="AL4" i="46"/>
  <c r="D30" i="46"/>
  <c r="AF4" i="46"/>
  <c r="AK4" i="46"/>
  <c r="E34" i="46"/>
  <c r="AG4" i="46"/>
  <c r="E33" i="46"/>
  <c r="E32" i="46"/>
  <c r="AC4" i="46"/>
  <c r="AH4" i="46"/>
  <c r="AM4" i="46"/>
  <c r="AJ4" i="46"/>
  <c r="B19" i="39"/>
  <c r="AD2" i="22"/>
  <c r="AE2" i="22"/>
  <c r="AF2" i="22"/>
  <c r="AG2" i="22"/>
  <c r="AH2" i="22"/>
  <c r="AI2" i="22"/>
  <c r="AJ2" i="22"/>
  <c r="AK2" i="22"/>
  <c r="AL2" i="22"/>
  <c r="AM2" i="22"/>
  <c r="AN2" i="22"/>
  <c r="AO2" i="22"/>
  <c r="AP2" i="22"/>
  <c r="AQ2" i="22"/>
  <c r="AR2" i="22"/>
  <c r="AS2" i="22"/>
  <c r="AT2" i="22"/>
  <c r="AU2" i="22"/>
  <c r="AV2" i="22"/>
  <c r="AW2" i="22"/>
  <c r="AX2" i="22"/>
  <c r="AY2" i="22"/>
  <c r="AZ2" i="22"/>
  <c r="BA2" i="22"/>
  <c r="BB2" i="22"/>
  <c r="BC2" i="22"/>
  <c r="BD2" i="22"/>
  <c r="BE2" i="22"/>
  <c r="BF2" i="22"/>
  <c r="BG2" i="22"/>
  <c r="BH2" i="22"/>
  <c r="BI2" i="22"/>
  <c r="BJ2" i="22"/>
  <c r="BK2" i="22"/>
  <c r="BL2" i="22"/>
  <c r="BM2" i="22"/>
  <c r="BN2" i="22"/>
  <c r="BO2" i="22"/>
  <c r="BP2" i="22"/>
  <c r="BQ2" i="22"/>
  <c r="BR2" i="22"/>
  <c r="BS2" i="22"/>
  <c r="BT2" i="22"/>
  <c r="BU2" i="22"/>
  <c r="BV2" i="22"/>
  <c r="BW2" i="22"/>
  <c r="BX2" i="22"/>
  <c r="BY2" i="22"/>
  <c r="BZ2" i="22"/>
  <c r="CA2" i="22"/>
  <c r="CB2" i="22"/>
  <c r="CC2" i="22"/>
  <c r="CD2" i="22"/>
  <c r="CE2" i="22"/>
  <c r="CF2" i="22"/>
  <c r="CG2" i="22"/>
  <c r="CH2" i="22"/>
  <c r="CI2" i="22"/>
  <c r="CJ2" i="22"/>
  <c r="CK2" i="22"/>
  <c r="CL2" i="22"/>
  <c r="CM2" i="22"/>
  <c r="CN2" i="22"/>
  <c r="CO2" i="22"/>
  <c r="CP2" i="22"/>
  <c r="CQ2" i="22"/>
  <c r="CR2" i="22"/>
  <c r="CS2" i="22"/>
  <c r="CT2" i="22"/>
  <c r="CU2" i="22"/>
  <c r="CV2" i="22"/>
  <c r="AC2" i="22"/>
  <c r="AA3" i="28"/>
  <c r="AB3" i="28"/>
  <c r="AC3" i="28"/>
  <c r="AD3" i="28"/>
  <c r="AE3" i="28"/>
  <c r="AF3" i="28"/>
  <c r="AG3" i="28"/>
  <c r="AH3" i="28"/>
  <c r="AI3" i="28"/>
  <c r="AJ3" i="28"/>
  <c r="AK3" i="28"/>
  <c r="AL3" i="28"/>
  <c r="AM3" i="28"/>
  <c r="AN3" i="28"/>
  <c r="AO3" i="28"/>
  <c r="AP3" i="28"/>
  <c r="AQ3" i="28"/>
  <c r="AR3" i="28"/>
  <c r="AS3" i="28"/>
  <c r="AT3" i="28"/>
  <c r="AU3" i="28"/>
  <c r="AV3" i="28"/>
  <c r="AW3" i="28"/>
  <c r="AX3" i="28"/>
  <c r="AY3" i="28"/>
  <c r="AZ3" i="28"/>
  <c r="BA3" i="28"/>
  <c r="BB3" i="28"/>
  <c r="BC3" i="28"/>
  <c r="BD3" i="28"/>
  <c r="BE3" i="28"/>
  <c r="BF3" i="28"/>
  <c r="BG3" i="28"/>
  <c r="BH3" i="28"/>
  <c r="BI3" i="28"/>
  <c r="BJ3" i="28"/>
  <c r="BK3" i="28"/>
  <c r="BL3" i="28"/>
  <c r="BM3" i="28"/>
  <c r="BN3" i="28"/>
  <c r="BO3" i="28"/>
  <c r="BP3" i="28"/>
  <c r="BQ3" i="28"/>
  <c r="BR3" i="28"/>
  <c r="BS3" i="28"/>
  <c r="BT3" i="28"/>
  <c r="BU3" i="28"/>
  <c r="BV3" i="28"/>
  <c r="BW3" i="28"/>
  <c r="BX3" i="28"/>
  <c r="BY3" i="28"/>
  <c r="BZ3" i="28"/>
  <c r="CA3" i="28"/>
  <c r="CB3" i="28"/>
  <c r="CC3" i="28"/>
  <c r="CD3" i="28"/>
  <c r="CE3" i="28"/>
  <c r="CF3" i="28"/>
  <c r="CG3" i="28"/>
  <c r="CH3" i="28"/>
  <c r="CI3" i="28"/>
  <c r="CJ3" i="28"/>
  <c r="CK3" i="28"/>
  <c r="CL3" i="28"/>
  <c r="CM3" i="28"/>
  <c r="CN3" i="28"/>
  <c r="CO3" i="28"/>
  <c r="CP3" i="28"/>
  <c r="CQ3" i="28"/>
  <c r="CR3" i="28"/>
  <c r="CS3" i="28"/>
  <c r="Z3" i="28"/>
  <c r="E33" i="45" l="1"/>
  <c r="D64" i="5"/>
  <c r="AE10" i="5"/>
  <c r="D62" i="5"/>
  <c r="D21" i="42"/>
  <c r="AN24" i="46"/>
  <c r="AW12" i="42" s="1"/>
  <c r="AZ15" i="45"/>
  <c r="AC24" i="46"/>
  <c r="AL12" i="42" s="1"/>
  <c r="AO15" i="45"/>
  <c r="AH24" i="46"/>
  <c r="AQ12" i="42" s="1"/>
  <c r="AT15" i="45"/>
  <c r="AG24" i="46"/>
  <c r="AP12" i="42" s="1"/>
  <c r="AS15" i="45"/>
  <c r="AM24" i="46"/>
  <c r="AV12" i="42" s="1"/>
  <c r="AY15" i="45"/>
  <c r="AF24" i="46"/>
  <c r="AO12" i="42" s="1"/>
  <c r="AR15" i="45"/>
  <c r="AI24" i="46"/>
  <c r="AR12" i="42" s="1"/>
  <c r="AU15" i="45"/>
  <c r="AC16" i="45"/>
  <c r="AA10" i="5" s="1"/>
  <c r="AL24" i="46"/>
  <c r="AU12" i="42" s="1"/>
  <c r="AX15" i="45"/>
  <c r="AJ24" i="46"/>
  <c r="AS12" i="42" s="1"/>
  <c r="AV15" i="45"/>
  <c r="AK24" i="46"/>
  <c r="AT12" i="42" s="1"/>
  <c r="AW15" i="45"/>
  <c r="AD24" i="46"/>
  <c r="AM12" i="42" s="1"/>
  <c r="AP15" i="45"/>
  <c r="AE24" i="46"/>
  <c r="AN12" i="42" s="1"/>
  <c r="AS4" i="46"/>
  <c r="BE15" i="45" s="1"/>
  <c r="AZ4" i="46"/>
  <c r="BL15" i="45" s="1"/>
  <c r="AT4" i="46"/>
  <c r="BF15" i="45" s="1"/>
  <c r="AX4" i="46"/>
  <c r="BJ15" i="45" s="1"/>
  <c r="AP4" i="46"/>
  <c r="BB15" i="45" s="1"/>
  <c r="AY4" i="46"/>
  <c r="BK15" i="45" s="1"/>
  <c r="AW4" i="46"/>
  <c r="BI15" i="45" s="1"/>
  <c r="AR4" i="46"/>
  <c r="D50" i="46"/>
  <c r="E30" i="46"/>
  <c r="AV4" i="46"/>
  <c r="AO4" i="46"/>
  <c r="F32" i="46"/>
  <c r="F33" i="46"/>
  <c r="F34" i="46"/>
  <c r="AU4" i="46"/>
  <c r="AQ4" i="46"/>
  <c r="F72" i="5"/>
  <c r="J72" i="5"/>
  <c r="I72" i="5"/>
  <c r="H72" i="5"/>
  <c r="G72" i="5"/>
  <c r="E19" i="42"/>
  <c r="G19" i="42"/>
  <c r="D19" i="42"/>
  <c r="H19" i="42"/>
  <c r="F19" i="42"/>
  <c r="I19" i="42"/>
  <c r="G15" i="28"/>
  <c r="I15" i="28"/>
  <c r="H15" i="28"/>
  <c r="F15" i="28"/>
  <c r="F33" i="45" l="1"/>
  <c r="AA8" i="5"/>
  <c r="AA19" i="5" s="1"/>
  <c r="AA18" i="5" s="1"/>
  <c r="AD75" i="18" s="1"/>
  <c r="AD76" i="18" s="1"/>
  <c r="E21" i="42"/>
  <c r="AR24" i="46"/>
  <c r="BA12" i="42" s="1"/>
  <c r="BD15" i="45"/>
  <c r="AV24" i="46"/>
  <c r="BE12" i="42" s="1"/>
  <c r="BH15" i="45"/>
  <c r="AU24" i="46"/>
  <c r="BD12" i="42" s="1"/>
  <c r="BG15" i="45"/>
  <c r="AO24" i="46"/>
  <c r="AX12" i="42" s="1"/>
  <c r="BA15" i="45"/>
  <c r="AQ24" i="46"/>
  <c r="AZ12" i="42" s="1"/>
  <c r="BC15" i="45"/>
  <c r="AY24" i="46"/>
  <c r="BH12" i="42" s="1"/>
  <c r="AT24" i="46"/>
  <c r="BC12" i="42" s="1"/>
  <c r="AW24" i="46"/>
  <c r="BF12" i="42" s="1"/>
  <c r="AX24" i="46"/>
  <c r="BG12" i="42" s="1"/>
  <c r="AS24" i="46"/>
  <c r="BB12" i="42" s="1"/>
  <c r="AP24" i="46"/>
  <c r="AY12" i="42" s="1"/>
  <c r="AZ24" i="46"/>
  <c r="BI12" i="42" s="1"/>
  <c r="BF4" i="46"/>
  <c r="BR15" i="45" s="1"/>
  <c r="BL4" i="46"/>
  <c r="BX15" i="45" s="1"/>
  <c r="BE4" i="46"/>
  <c r="BQ15" i="45" s="1"/>
  <c r="BD4" i="46"/>
  <c r="BP15" i="45" s="1"/>
  <c r="BK4" i="46"/>
  <c r="BW15" i="45" s="1"/>
  <c r="BJ4" i="46"/>
  <c r="BV15" i="45" s="1"/>
  <c r="BB4" i="46"/>
  <c r="BN15" i="45" s="1"/>
  <c r="BC4" i="46"/>
  <c r="BO15" i="45" s="1"/>
  <c r="BH4" i="46"/>
  <c r="BT15" i="45" s="1"/>
  <c r="G33" i="46"/>
  <c r="BI4" i="46"/>
  <c r="BU15" i="45" s="1"/>
  <c r="G34" i="46"/>
  <c r="BG4" i="46"/>
  <c r="F30" i="46"/>
  <c r="E50" i="46"/>
  <c r="I21" i="28"/>
  <c r="G32" i="46"/>
  <c r="BA4" i="46"/>
  <c r="E21" i="28"/>
  <c r="G21" i="28"/>
  <c r="D21" i="28"/>
  <c r="H21" i="28"/>
  <c r="F21" i="28"/>
  <c r="G33" i="45" l="1"/>
  <c r="BG24" i="46"/>
  <c r="BP12" i="42" s="1"/>
  <c r="BS15" i="45"/>
  <c r="BA24" i="46"/>
  <c r="BJ12" i="42" s="1"/>
  <c r="BM15" i="45"/>
  <c r="H33" i="45" s="1"/>
  <c r="BD24" i="46"/>
  <c r="BM12" i="42" s="1"/>
  <c r="BI24" i="46"/>
  <c r="BR12" i="42" s="1"/>
  <c r="BB24" i="46"/>
  <c r="BK12" i="42" s="1"/>
  <c r="BK24" i="46"/>
  <c r="BT12" i="42" s="1"/>
  <c r="BF24" i="46"/>
  <c r="BO12" i="42" s="1"/>
  <c r="BC24" i="46"/>
  <c r="BL12" i="42" s="1"/>
  <c r="BJ24" i="46"/>
  <c r="BS12" i="42" s="1"/>
  <c r="BL24" i="46"/>
  <c r="BU12" i="42" s="1"/>
  <c r="BH24" i="46"/>
  <c r="BQ12" i="42" s="1"/>
  <c r="BE24" i="46"/>
  <c r="BN12" i="42" s="1"/>
  <c r="BQ4" i="46"/>
  <c r="BW4" i="46"/>
  <c r="CI15" i="45" s="1"/>
  <c r="BS4" i="46"/>
  <c r="CE15" i="45" s="1"/>
  <c r="BU4" i="46"/>
  <c r="CG15" i="45" s="1"/>
  <c r="BT4" i="46"/>
  <c r="CF15" i="45" s="1"/>
  <c r="F50" i="46"/>
  <c r="BN4" i="46"/>
  <c r="G30" i="46"/>
  <c r="H34" i="46"/>
  <c r="BR4" i="46"/>
  <c r="BM4" i="46"/>
  <c r="H32" i="46"/>
  <c r="BO4" i="46"/>
  <c r="BV4" i="46"/>
  <c r="BX4" i="46"/>
  <c r="BP4" i="46"/>
  <c r="H33" i="46"/>
  <c r="D36" i="28"/>
  <c r="BV24" i="46" l="1"/>
  <c r="CE12" i="42" s="1"/>
  <c r="CH15" i="45"/>
  <c r="BR24" i="46"/>
  <c r="CA12" i="42" s="1"/>
  <c r="CD15" i="45"/>
  <c r="BM24" i="46"/>
  <c r="BV12" i="42" s="1"/>
  <c r="BY15" i="45"/>
  <c r="BN24" i="46"/>
  <c r="BW12" i="42" s="1"/>
  <c r="BZ15" i="45"/>
  <c r="BP24" i="46"/>
  <c r="BY12" i="42" s="1"/>
  <c r="CB15" i="45"/>
  <c r="BQ24" i="46"/>
  <c r="BZ12" i="42" s="1"/>
  <c r="CC15" i="45"/>
  <c r="BX24" i="46"/>
  <c r="CG12" i="42" s="1"/>
  <c r="CJ15" i="45"/>
  <c r="BO24" i="46"/>
  <c r="BX12" i="42" s="1"/>
  <c r="CA15" i="45"/>
  <c r="BU24" i="46"/>
  <c r="CD12" i="42" s="1"/>
  <c r="BT24" i="46"/>
  <c r="CC12" i="42" s="1"/>
  <c r="BW24" i="46"/>
  <c r="CF12" i="42" s="1"/>
  <c r="BS24" i="46"/>
  <c r="CB12" i="42" s="1"/>
  <c r="BZ4" i="46"/>
  <c r="CL15" i="45" s="1"/>
  <c r="CB4" i="46"/>
  <c r="CN15" i="45" s="1"/>
  <c r="CF4" i="46"/>
  <c r="CA4" i="46"/>
  <c r="CI4" i="46"/>
  <c r="CC4" i="46"/>
  <c r="CJ4" i="46"/>
  <c r="I34" i="46"/>
  <c r="CE4" i="46"/>
  <c r="H30" i="46"/>
  <c r="G50" i="46"/>
  <c r="I32" i="46"/>
  <c r="BY4" i="46"/>
  <c r="CH4" i="46"/>
  <c r="CG4" i="46"/>
  <c r="I33" i="46"/>
  <c r="CD4" i="46"/>
  <c r="AQ9" i="22"/>
  <c r="AO9" i="5" s="1"/>
  <c r="AT9" i="22"/>
  <c r="AR9" i="5" s="1"/>
  <c r="AY9" i="22"/>
  <c r="AW9" i="5" s="1"/>
  <c r="AV9" i="22"/>
  <c r="AT9" i="5" s="1"/>
  <c r="AS9" i="22"/>
  <c r="AQ9" i="5" s="1"/>
  <c r="AZ9" i="22"/>
  <c r="AX9" i="5" s="1"/>
  <c r="AW9" i="22"/>
  <c r="AU9" i="5" s="1"/>
  <c r="AP9" i="22"/>
  <c r="AN9" i="5" s="1"/>
  <c r="AU9" i="22"/>
  <c r="AS9" i="5" s="1"/>
  <c r="AR9" i="22"/>
  <c r="AP9" i="5" s="1"/>
  <c r="AX9" i="22"/>
  <c r="AV9" i="5" s="1"/>
  <c r="D42" i="28"/>
  <c r="I33" i="45" l="1"/>
  <c r="CI24" i="46"/>
  <c r="CR12" i="42" s="1"/>
  <c r="CU15" i="45"/>
  <c r="CD24" i="46"/>
  <c r="CM12" i="42" s="1"/>
  <c r="CP15" i="45"/>
  <c r="BY24" i="46"/>
  <c r="CH12" i="42" s="1"/>
  <c r="CK15" i="45"/>
  <c r="CE24" i="46"/>
  <c r="CN12" i="42" s="1"/>
  <c r="CQ15" i="45"/>
  <c r="CC24" i="46"/>
  <c r="CL12" i="42" s="1"/>
  <c r="CO15" i="45"/>
  <c r="CH24" i="46"/>
  <c r="CQ12" i="42" s="1"/>
  <c r="CT15" i="45"/>
  <c r="CJ24" i="46"/>
  <c r="CS12" i="42" s="1"/>
  <c r="CV15" i="45"/>
  <c r="CF24" i="46"/>
  <c r="CO12" i="42" s="1"/>
  <c r="CR15" i="45"/>
  <c r="CG24" i="46"/>
  <c r="CP12" i="42" s="1"/>
  <c r="CS15" i="45"/>
  <c r="CA24" i="46"/>
  <c r="CJ12" i="42" s="1"/>
  <c r="CM15" i="45"/>
  <c r="CB24" i="46"/>
  <c r="CK12" i="42" s="1"/>
  <c r="BZ24" i="46"/>
  <c r="CI12" i="42" s="1"/>
  <c r="CV4" i="46"/>
  <c r="DH15" i="45" s="1"/>
  <c r="CT4" i="46"/>
  <c r="CN4" i="46"/>
  <c r="CZ15" i="45" s="1"/>
  <c r="CS4" i="46"/>
  <c r="DE15" i="45" s="1"/>
  <c r="CP4" i="46"/>
  <c r="DB15" i="45" s="1"/>
  <c r="CL4" i="46"/>
  <c r="CX15" i="45" s="1"/>
  <c r="J34" i="46"/>
  <c r="CQ4" i="46"/>
  <c r="H50" i="46"/>
  <c r="CO4" i="46"/>
  <c r="J33" i="46"/>
  <c r="J32" i="46"/>
  <c r="CK4" i="46"/>
  <c r="CM4" i="46"/>
  <c r="CR4" i="46"/>
  <c r="I30" i="46"/>
  <c r="CU4" i="46"/>
  <c r="E61" i="5"/>
  <c r="F63" i="5"/>
  <c r="F20" i="22"/>
  <c r="BL9" i="22"/>
  <c r="BJ9" i="5" s="1"/>
  <c r="BI9" i="22"/>
  <c r="BG9" i="5" s="1"/>
  <c r="BB9" i="22"/>
  <c r="AZ9" i="5" s="1"/>
  <c r="BC9" i="22"/>
  <c r="BA9" i="5" s="1"/>
  <c r="BA9" i="22"/>
  <c r="AY9" i="5" s="1"/>
  <c r="BF9" i="22"/>
  <c r="BD9" i="5" s="1"/>
  <c r="BG9" i="22"/>
  <c r="BE9" i="5" s="1"/>
  <c r="BD9" i="22"/>
  <c r="BB9" i="5" s="1"/>
  <c r="BJ9" i="22"/>
  <c r="BH9" i="5" s="1"/>
  <c r="BK9" i="22"/>
  <c r="BI9" i="5" s="1"/>
  <c r="BH9" i="22"/>
  <c r="BF9" i="5" s="1"/>
  <c r="BE9" i="22"/>
  <c r="BC9" i="5" s="1"/>
  <c r="E42" i="28"/>
  <c r="J33" i="45" l="1"/>
  <c r="D15" i="45"/>
  <c r="D16" i="45" s="1"/>
  <c r="CK24" i="46"/>
  <c r="CT12" i="42" s="1"/>
  <c r="CW15" i="45"/>
  <c r="CU24" i="46"/>
  <c r="DD12" i="42" s="1"/>
  <c r="DG15" i="45"/>
  <c r="CM24" i="46"/>
  <c r="CV12" i="42" s="1"/>
  <c r="CY15" i="45"/>
  <c r="CQ24" i="46"/>
  <c r="CZ12" i="42" s="1"/>
  <c r="DC15" i="45"/>
  <c r="CR24" i="46"/>
  <c r="DA12" i="42" s="1"/>
  <c r="DD15" i="45"/>
  <c r="CO24" i="46"/>
  <c r="CX12" i="42" s="1"/>
  <c r="DA15" i="45"/>
  <c r="CT24" i="46"/>
  <c r="DC12" i="42" s="1"/>
  <c r="DF15" i="45"/>
  <c r="CS24" i="46"/>
  <c r="DB12" i="42" s="1"/>
  <c r="CP24" i="46"/>
  <c r="CY12" i="42" s="1"/>
  <c r="CV24" i="46"/>
  <c r="DE12" i="42" s="1"/>
  <c r="CL24" i="46"/>
  <c r="CU12" i="42" s="1"/>
  <c r="CN24" i="46"/>
  <c r="CW12" i="42" s="1"/>
  <c r="DA4" i="46"/>
  <c r="DM15" i="45" s="1"/>
  <c r="DD4" i="46"/>
  <c r="DP15" i="45" s="1"/>
  <c r="K33" i="46"/>
  <c r="I50" i="46"/>
  <c r="J30" i="46"/>
  <c r="DG4" i="46"/>
  <c r="DF4" i="46"/>
  <c r="DB4" i="46"/>
  <c r="K34" i="46"/>
  <c r="DH4" i="46"/>
  <c r="CY4" i="46"/>
  <c r="DC4" i="46"/>
  <c r="DE4" i="46"/>
  <c r="CW4" i="46"/>
  <c r="K32" i="46"/>
  <c r="CZ4" i="46"/>
  <c r="CX4" i="46"/>
  <c r="F61" i="5"/>
  <c r="G63" i="5"/>
  <c r="G20" i="22"/>
  <c r="BW9" i="22"/>
  <c r="BU9" i="5" s="1"/>
  <c r="BT9" i="22"/>
  <c r="BR9" i="5" s="1"/>
  <c r="BQ9" i="22"/>
  <c r="BO9" i="5" s="1"/>
  <c r="BX9" i="22"/>
  <c r="BV9" i="5" s="1"/>
  <c r="BN9" i="22"/>
  <c r="BL9" i="5" s="1"/>
  <c r="BU9" i="22"/>
  <c r="BS9" i="5" s="1"/>
  <c r="BO9" i="22"/>
  <c r="BM9" i="5" s="1"/>
  <c r="BM9" i="22"/>
  <c r="BK9" i="5" s="1"/>
  <c r="BR9" i="22"/>
  <c r="BP9" i="5" s="1"/>
  <c r="BS9" i="22"/>
  <c r="BQ9" i="5" s="1"/>
  <c r="BP9" i="22"/>
  <c r="BN9" i="5" s="1"/>
  <c r="BV9" i="22"/>
  <c r="BT9" i="5" s="1"/>
  <c r="F42" i="28"/>
  <c r="K33" i="45" l="1"/>
  <c r="CW24" i="46"/>
  <c r="DF12" i="42" s="1"/>
  <c r="DI15" i="45"/>
  <c r="DH24" i="46"/>
  <c r="DQ12" i="42" s="1"/>
  <c r="DT15" i="45"/>
  <c r="DG24" i="46"/>
  <c r="DP12" i="42" s="1"/>
  <c r="DS15" i="45"/>
  <c r="CY24" i="46"/>
  <c r="DH12" i="42" s="1"/>
  <c r="DK15" i="45"/>
  <c r="DF24" i="46"/>
  <c r="DO12" i="42" s="1"/>
  <c r="DR15" i="45"/>
  <c r="CZ24" i="46"/>
  <c r="DI12" i="42" s="1"/>
  <c r="DL15" i="45"/>
  <c r="DC24" i="46"/>
  <c r="DL12" i="42" s="1"/>
  <c r="DO15" i="45"/>
  <c r="DB24" i="46"/>
  <c r="DK12" i="42" s="1"/>
  <c r="DN15" i="45"/>
  <c r="CX24" i="46"/>
  <c r="DG12" i="42" s="1"/>
  <c r="DJ15" i="45"/>
  <c r="DE24" i="46"/>
  <c r="DN12" i="42" s="1"/>
  <c r="DQ15" i="45"/>
  <c r="DA24" i="46"/>
  <c r="DJ12" i="42" s="1"/>
  <c r="DD24" i="46"/>
  <c r="DM12" i="42" s="1"/>
  <c r="DR4" i="46"/>
  <c r="ED15" i="45" s="1"/>
  <c r="DS4" i="46"/>
  <c r="EE15" i="45" s="1"/>
  <c r="DN4" i="46"/>
  <c r="DQ4" i="46"/>
  <c r="EC15" i="45" s="1"/>
  <c r="DJ4" i="46"/>
  <c r="DV15" i="45" s="1"/>
  <c r="DT4" i="46"/>
  <c r="DP4" i="46"/>
  <c r="EB15" i="45" s="1"/>
  <c r="L33" i="46"/>
  <c r="DM4" i="46"/>
  <c r="DO4" i="46"/>
  <c r="J50" i="46"/>
  <c r="L34" i="46"/>
  <c r="DI4" i="46"/>
  <c r="L32" i="46"/>
  <c r="DL4" i="46"/>
  <c r="K30" i="46"/>
  <c r="DK4" i="46"/>
  <c r="H63" i="5"/>
  <c r="H20" i="22"/>
  <c r="G61" i="5"/>
  <c r="CJ9" i="22"/>
  <c r="CH9" i="5" s="1"/>
  <c r="CG9" i="22"/>
  <c r="CE9" i="5" s="1"/>
  <c r="BZ9" i="22"/>
  <c r="BX9" i="5" s="1"/>
  <c r="CA9" i="22"/>
  <c r="BY9" i="5" s="1"/>
  <c r="BY9" i="22"/>
  <c r="BW9" i="5" s="1"/>
  <c r="CD9" i="22"/>
  <c r="CB9" i="5" s="1"/>
  <c r="CE9" i="22"/>
  <c r="CC9" i="5" s="1"/>
  <c r="CB9" i="22"/>
  <c r="BZ9" i="5" s="1"/>
  <c r="CH9" i="22"/>
  <c r="CF9" i="5" s="1"/>
  <c r="CI9" i="22"/>
  <c r="CG9" i="5" s="1"/>
  <c r="CF9" i="22"/>
  <c r="CD9" i="5" s="1"/>
  <c r="CC9" i="22"/>
  <c r="CA9" i="5" s="1"/>
  <c r="G42" i="28"/>
  <c r="L33" i="45" l="1"/>
  <c r="DI24" i="46"/>
  <c r="DR12" i="42" s="1"/>
  <c r="DU15" i="45"/>
  <c r="DM24" i="46"/>
  <c r="DV12" i="42" s="1"/>
  <c r="DY15" i="45"/>
  <c r="DT24" i="46"/>
  <c r="EC12" i="42" s="1"/>
  <c r="EF15" i="45"/>
  <c r="DK24" i="46"/>
  <c r="DT12" i="42" s="1"/>
  <c r="DW15" i="45"/>
  <c r="DO24" i="46"/>
  <c r="DX12" i="42" s="1"/>
  <c r="EA15" i="45"/>
  <c r="DN24" i="46"/>
  <c r="DW12" i="42" s="1"/>
  <c r="DZ15" i="45"/>
  <c r="DL24" i="46"/>
  <c r="DU12" i="42" s="1"/>
  <c r="DX15" i="45"/>
  <c r="DQ24" i="46"/>
  <c r="DZ12" i="42" s="1"/>
  <c r="DJ24" i="46"/>
  <c r="DS12" i="42" s="1"/>
  <c r="DS24" i="46"/>
  <c r="EB12" i="42" s="1"/>
  <c r="DR24" i="46"/>
  <c r="EA12" i="42" s="1"/>
  <c r="DP24" i="46"/>
  <c r="DY12" i="42" s="1"/>
  <c r="K50" i="46"/>
  <c r="L30" i="46"/>
  <c r="CQ9" i="22"/>
  <c r="CO9" i="5" s="1"/>
  <c r="CN9" i="22"/>
  <c r="CL9" i="5" s="1"/>
  <c r="CT9" i="22"/>
  <c r="CR9" i="5" s="1"/>
  <c r="CV9" i="22"/>
  <c r="CT9" i="5" s="1"/>
  <c r="CS9" i="22"/>
  <c r="CQ9" i="5" s="1"/>
  <c r="CL9" i="22"/>
  <c r="CJ9" i="5" s="1"/>
  <c r="H61" i="5"/>
  <c r="I63" i="5"/>
  <c r="CU9" i="22"/>
  <c r="CS9" i="5" s="1"/>
  <c r="CR9" i="22"/>
  <c r="CP9" i="5" s="1"/>
  <c r="CO9" i="22"/>
  <c r="CM9" i="5" s="1"/>
  <c r="CM9" i="22"/>
  <c r="CK9" i="5" s="1"/>
  <c r="CK9" i="22"/>
  <c r="CI9" i="5" s="1"/>
  <c r="CP9" i="22"/>
  <c r="CN9" i="5" s="1"/>
  <c r="I20" i="22"/>
  <c r="H42" i="28"/>
  <c r="M33" i="45" l="1"/>
  <c r="L50" i="46"/>
  <c r="I61" i="5"/>
  <c r="J63" i="5"/>
  <c r="J20" i="22"/>
  <c r="DC9" i="22"/>
  <c r="DA9" i="5" s="1"/>
  <c r="CZ9" i="22"/>
  <c r="CX9" i="5" s="1"/>
  <c r="DF9" i="22"/>
  <c r="DD9" i="5" s="1"/>
  <c r="DN9" i="22"/>
  <c r="DL9" i="5" s="1"/>
  <c r="DR9" i="22"/>
  <c r="DP9" i="5" s="1"/>
  <c r="DM9" i="22"/>
  <c r="DK9" i="5" s="1"/>
  <c r="DQ9" i="22"/>
  <c r="DO9" i="5" s="1"/>
  <c r="DI9" i="22"/>
  <c r="DG9" i="5" s="1"/>
  <c r="DL9" i="22"/>
  <c r="DJ9" i="5" s="1"/>
  <c r="DP9" i="22"/>
  <c r="DN9" i="5" s="1"/>
  <c r="DT9" i="22"/>
  <c r="DR9" i="5" s="1"/>
  <c r="DK9" i="22"/>
  <c r="DI9" i="5" s="1"/>
  <c r="DO9" i="22"/>
  <c r="DM9" i="5" s="1"/>
  <c r="DS9" i="22"/>
  <c r="DQ9" i="5" s="1"/>
  <c r="DG9" i="22"/>
  <c r="DE9" i="5" s="1"/>
  <c r="DD9" i="22"/>
  <c r="DB9" i="5" s="1"/>
  <c r="DA9" i="22"/>
  <c r="CY9" i="5" s="1"/>
  <c r="DH9" i="22"/>
  <c r="DF9" i="5" s="1"/>
  <c r="DE9" i="22"/>
  <c r="DC9" i="5" s="1"/>
  <c r="CX9" i="22"/>
  <c r="CV9" i="5" s="1"/>
  <c r="CY9" i="22"/>
  <c r="CW9" i="5" s="1"/>
  <c r="CW9" i="22"/>
  <c r="CU9" i="5" s="1"/>
  <c r="DB9" i="22"/>
  <c r="CZ9" i="5" s="1"/>
  <c r="I42" i="28"/>
  <c r="J36" i="28"/>
  <c r="DJ9" i="22" l="1"/>
  <c r="J61" i="5"/>
  <c r="K63" i="5"/>
  <c r="K20" i="22"/>
  <c r="J42" i="28"/>
  <c r="K36" i="28"/>
  <c r="DH9" i="5" l="1"/>
  <c r="L63" i="5" s="1"/>
  <c r="L20" i="22"/>
  <c r="EA9" i="22"/>
  <c r="DY9" i="5" s="1"/>
  <c r="DX9" i="22"/>
  <c r="DV9" i="5" s="1"/>
  <c r="ED9" i="22"/>
  <c r="EB9" i="5" s="1"/>
  <c r="EE9" i="22"/>
  <c r="EC9" i="5" s="1"/>
  <c r="EB9" i="22"/>
  <c r="DZ9" i="5" s="1"/>
  <c r="K61" i="5"/>
  <c r="DY9" i="22"/>
  <c r="DW9" i="5" s="1"/>
  <c r="EF9" i="22"/>
  <c r="ED9" i="5" s="1"/>
  <c r="EC9" i="22"/>
  <c r="EA9" i="5" s="1"/>
  <c r="DV9" i="22"/>
  <c r="DT9" i="5" s="1"/>
  <c r="DW9" i="22"/>
  <c r="DU9" i="5" s="1"/>
  <c r="DU9" i="22"/>
  <c r="DS9" i="5" s="1"/>
  <c r="DZ9" i="22"/>
  <c r="DX9" i="5" s="1"/>
  <c r="K42" i="28"/>
  <c r="L36" i="28"/>
  <c r="D9" i="1"/>
  <c r="O13" i="5" l="1"/>
  <c r="O12" i="5" s="1"/>
  <c r="CC13" i="5"/>
  <c r="CA13" i="5"/>
  <c r="W13" i="5"/>
  <c r="W12" i="5" s="1"/>
  <c r="CB26" i="5"/>
  <c r="BZ13" i="5"/>
  <c r="CA26" i="5"/>
  <c r="CD13" i="5"/>
  <c r="P13" i="5"/>
  <c r="P12" i="5" s="1"/>
  <c r="X13" i="5"/>
  <c r="CC26" i="5"/>
  <c r="CE26" i="5"/>
  <c r="CG17" i="5"/>
  <c r="CE13" i="5"/>
  <c r="Q13" i="5"/>
  <c r="Q12" i="5" s="1"/>
  <c r="Y13" i="5"/>
  <c r="CD26" i="5"/>
  <c r="CG26" i="5"/>
  <c r="U13" i="5"/>
  <c r="U12" i="5" s="1"/>
  <c r="W17" i="5"/>
  <c r="CF13" i="5"/>
  <c r="R13" i="5"/>
  <c r="R12" i="5" s="1"/>
  <c r="X17" i="5"/>
  <c r="CG13" i="5"/>
  <c r="S13" i="5"/>
  <c r="CF26" i="5"/>
  <c r="BW13" i="5"/>
  <c r="Y17" i="5"/>
  <c r="BX13" i="5"/>
  <c r="T13" i="5"/>
  <c r="BY13" i="5"/>
  <c r="CB13" i="5"/>
  <c r="V13" i="5"/>
  <c r="CB16" i="5"/>
  <c r="CN16" i="5"/>
  <c r="CV16" i="5"/>
  <c r="DD16" i="5"/>
  <c r="DD12" i="5" s="1"/>
  <c r="BD16" i="5"/>
  <c r="AZ15" i="5"/>
  <c r="BL15" i="5"/>
  <c r="BT15" i="5"/>
  <c r="CB15" i="5"/>
  <c r="CN15" i="5"/>
  <c r="CV15" i="5"/>
  <c r="CV12" i="5" s="1"/>
  <c r="AK14" i="5"/>
  <c r="AS14" i="5"/>
  <c r="BE14" i="5"/>
  <c r="BM14" i="5"/>
  <c r="BY14" i="5"/>
  <c r="CG14" i="5"/>
  <c r="AF14" i="5"/>
  <c r="AC13" i="5"/>
  <c r="AK13" i="5"/>
  <c r="AS13" i="5"/>
  <c r="BA13" i="5"/>
  <c r="BI13" i="5"/>
  <c r="BQ13" i="5"/>
  <c r="S12" i="5"/>
  <c r="S19" i="5" s="1"/>
  <c r="S18" i="5" s="1"/>
  <c r="V75" i="18" s="1"/>
  <c r="V76" i="18" s="1"/>
  <c r="BG16" i="5"/>
  <c r="BK16" i="5"/>
  <c r="BO16" i="5"/>
  <c r="BS16" i="5"/>
  <c r="BW16" i="5"/>
  <c r="CA16" i="5"/>
  <c r="CE16" i="5"/>
  <c r="CI16" i="5"/>
  <c r="CM16" i="5"/>
  <c r="CQ16" i="5"/>
  <c r="CU16" i="5"/>
  <c r="CY16" i="5"/>
  <c r="DC16" i="5"/>
  <c r="DC12" i="5" s="1"/>
  <c r="DG16" i="5"/>
  <c r="DG12" i="5" s="1"/>
  <c r="DK16" i="5"/>
  <c r="DK12" i="5" s="1"/>
  <c r="AU15" i="5"/>
  <c r="AY15" i="5"/>
  <c r="BC15" i="5"/>
  <c r="BG15" i="5"/>
  <c r="BK15" i="5"/>
  <c r="BO15" i="5"/>
  <c r="BS15" i="5"/>
  <c r="BW15" i="5"/>
  <c r="CA15" i="5"/>
  <c r="CE15" i="5"/>
  <c r="CI15" i="5"/>
  <c r="CM15" i="5"/>
  <c r="CQ15" i="5"/>
  <c r="CU15" i="5"/>
  <c r="CU12" i="5" s="1"/>
  <c r="CY15" i="5"/>
  <c r="AJ14" i="5"/>
  <c r="AN14" i="5"/>
  <c r="AR14" i="5"/>
  <c r="AV14" i="5"/>
  <c r="AZ14" i="5"/>
  <c r="BD14" i="5"/>
  <c r="BH14" i="5"/>
  <c r="BL14" i="5"/>
  <c r="BP14" i="5"/>
  <c r="BT14" i="5"/>
  <c r="BX14" i="5"/>
  <c r="CB14" i="5"/>
  <c r="CF14" i="5"/>
  <c r="CJ14" i="5"/>
  <c r="AG14" i="5"/>
  <c r="X12" i="5"/>
  <c r="X19" i="5" s="1"/>
  <c r="X18" i="5" s="1"/>
  <c r="AA75" i="18" s="1"/>
  <c r="AA76" i="18" s="1"/>
  <c r="AB13" i="5"/>
  <c r="AF13" i="5"/>
  <c r="AJ13" i="5"/>
  <c r="AN13" i="5"/>
  <c r="AR13" i="5"/>
  <c r="AV13" i="5"/>
  <c r="AZ13" i="5"/>
  <c r="BD13" i="5"/>
  <c r="BH13" i="5"/>
  <c r="BL13" i="5"/>
  <c r="BP13" i="5"/>
  <c r="BT13" i="5"/>
  <c r="T12" i="5"/>
  <c r="BJ16" i="5"/>
  <c r="BN16" i="5"/>
  <c r="BR16" i="5"/>
  <c r="BV16" i="5"/>
  <c r="BZ16" i="5"/>
  <c r="CH16" i="5"/>
  <c r="CL16" i="5"/>
  <c r="CT16" i="5"/>
  <c r="DB16" i="5"/>
  <c r="DB12" i="5" s="1"/>
  <c r="DF16" i="5"/>
  <c r="DF12" i="5" s="1"/>
  <c r="AT15" i="5"/>
  <c r="AX15" i="5"/>
  <c r="BF15" i="5"/>
  <c r="BJ15" i="5"/>
  <c r="BR15" i="5"/>
  <c r="BZ15" i="5"/>
  <c r="CH15" i="5"/>
  <c r="CP15" i="5"/>
  <c r="CT15" i="5"/>
  <c r="AI14" i="5"/>
  <c r="AQ14" i="5"/>
  <c r="AU14" i="5"/>
  <c r="BC14" i="5"/>
  <c r="BK14" i="5"/>
  <c r="BS14" i="5"/>
  <c r="BW14" i="5"/>
  <c r="CE14" i="5"/>
  <c r="CM14" i="5"/>
  <c r="AA13" i="5"/>
  <c r="AE13" i="5"/>
  <c r="AM13" i="5"/>
  <c r="AQ13" i="5"/>
  <c r="AY13" i="5"/>
  <c r="BG13" i="5"/>
  <c r="BS13" i="5"/>
  <c r="BF16" i="5"/>
  <c r="CD16" i="5"/>
  <c r="CP16" i="5"/>
  <c r="CX16" i="5"/>
  <c r="DJ16" i="5"/>
  <c r="DJ12" i="5" s="1"/>
  <c r="BB15" i="5"/>
  <c r="BN15" i="5"/>
  <c r="BV15" i="5"/>
  <c r="CD15" i="5"/>
  <c r="CL15" i="5"/>
  <c r="CX15" i="5"/>
  <c r="AM14" i="5"/>
  <c r="AY14" i="5"/>
  <c r="BG14" i="5"/>
  <c r="BO14" i="5"/>
  <c r="CA14" i="5"/>
  <c r="CI14" i="5"/>
  <c r="AI13" i="5"/>
  <c r="AU13" i="5"/>
  <c r="BC13" i="5"/>
  <c r="BK13" i="5"/>
  <c r="BO13" i="5"/>
  <c r="BE16" i="5"/>
  <c r="BI16" i="5"/>
  <c r="BM16" i="5"/>
  <c r="BQ16" i="5"/>
  <c r="BU16" i="5"/>
  <c r="BY16" i="5"/>
  <c r="CC16" i="5"/>
  <c r="CG16" i="5"/>
  <c r="CK16" i="5"/>
  <c r="CO16" i="5"/>
  <c r="CS16" i="5"/>
  <c r="CW16" i="5"/>
  <c r="DA16" i="5"/>
  <c r="DA12" i="5" s="1"/>
  <c r="DE16" i="5"/>
  <c r="DE12" i="5" s="1"/>
  <c r="DI16" i="5"/>
  <c r="DI12" i="5" s="1"/>
  <c r="AS15" i="5"/>
  <c r="AW15" i="5"/>
  <c r="BA15" i="5"/>
  <c r="BE15" i="5"/>
  <c r="BI15" i="5"/>
  <c r="BM15" i="5"/>
  <c r="BQ15" i="5"/>
  <c r="BU15" i="5"/>
  <c r="BY15" i="5"/>
  <c r="CC15" i="5"/>
  <c r="CG15" i="5"/>
  <c r="CK15" i="5"/>
  <c r="CO15" i="5"/>
  <c r="CS15" i="5"/>
  <c r="CW15" i="5"/>
  <c r="AH14" i="5"/>
  <c r="AL14" i="5"/>
  <c r="AP14" i="5"/>
  <c r="AT14" i="5"/>
  <c r="AX14" i="5"/>
  <c r="BB14" i="5"/>
  <c r="BF14" i="5"/>
  <c r="BJ14" i="5"/>
  <c r="BN14" i="5"/>
  <c r="BR14" i="5"/>
  <c r="BV14" i="5"/>
  <c r="BZ14" i="5"/>
  <c r="CD14" i="5"/>
  <c r="CH14" i="5"/>
  <c r="CL14" i="5"/>
  <c r="V12" i="5"/>
  <c r="Z13" i="5"/>
  <c r="AD13" i="5"/>
  <c r="AH13" i="5"/>
  <c r="AL13" i="5"/>
  <c r="AP13" i="5"/>
  <c r="AT13" i="5"/>
  <c r="AX13" i="5"/>
  <c r="BB13" i="5"/>
  <c r="BF13" i="5"/>
  <c r="BJ13" i="5"/>
  <c r="BN13" i="5"/>
  <c r="BR13" i="5"/>
  <c r="BV13" i="5"/>
  <c r="BH16" i="5"/>
  <c r="BL16" i="5"/>
  <c r="BP16" i="5"/>
  <c r="BT16" i="5"/>
  <c r="BX16" i="5"/>
  <c r="CF16" i="5"/>
  <c r="CJ16" i="5"/>
  <c r="CR16" i="5"/>
  <c r="CZ16" i="5"/>
  <c r="CZ12" i="5" s="1"/>
  <c r="DH16" i="5"/>
  <c r="DH12" i="5" s="1"/>
  <c r="AV15" i="5"/>
  <c r="BD15" i="5"/>
  <c r="BH15" i="5"/>
  <c r="BP15" i="5"/>
  <c r="BX15" i="5"/>
  <c r="CF15" i="5"/>
  <c r="CJ15" i="5"/>
  <c r="CR15" i="5"/>
  <c r="AR15" i="5"/>
  <c r="AO14" i="5"/>
  <c r="AW14" i="5"/>
  <c r="BA14" i="5"/>
  <c r="BI14" i="5"/>
  <c r="BQ14" i="5"/>
  <c r="BU14" i="5"/>
  <c r="CC14" i="5"/>
  <c r="CK14" i="5"/>
  <c r="AG13" i="5"/>
  <c r="AO13" i="5"/>
  <c r="AW13" i="5"/>
  <c r="BE13" i="5"/>
  <c r="BM13" i="5"/>
  <c r="BU13" i="5"/>
  <c r="BH29" i="5"/>
  <c r="BL29" i="5"/>
  <c r="BP29" i="5"/>
  <c r="BT29" i="5"/>
  <c r="BX29" i="5"/>
  <c r="CB29" i="5"/>
  <c r="CF29" i="5"/>
  <c r="CJ29" i="5"/>
  <c r="CN29" i="5"/>
  <c r="CR29" i="5"/>
  <c r="CV29" i="5"/>
  <c r="CZ29" i="5"/>
  <c r="CZ25" i="5" s="1"/>
  <c r="DD29" i="5"/>
  <c r="DD25" i="5" s="1"/>
  <c r="DH29" i="5"/>
  <c r="DH25" i="5" s="1"/>
  <c r="BD29" i="5"/>
  <c r="AV28" i="5"/>
  <c r="AZ28" i="5"/>
  <c r="BD28" i="5"/>
  <c r="BH28" i="5"/>
  <c r="BL28" i="5"/>
  <c r="BP28" i="5"/>
  <c r="BT28" i="5"/>
  <c r="BX28" i="5"/>
  <c r="CB28" i="5"/>
  <c r="CF28" i="5"/>
  <c r="CJ28" i="5"/>
  <c r="CN28" i="5"/>
  <c r="CR28" i="5"/>
  <c r="CV28" i="5"/>
  <c r="AR28" i="5"/>
  <c r="AJ27" i="5"/>
  <c r="AN27" i="5"/>
  <c r="AR27" i="5"/>
  <c r="AV27" i="5"/>
  <c r="AZ27" i="5"/>
  <c r="BD27" i="5"/>
  <c r="BH27" i="5"/>
  <c r="BL27" i="5"/>
  <c r="BP27" i="5"/>
  <c r="BT27" i="5"/>
  <c r="BX27" i="5"/>
  <c r="CB27" i="5"/>
  <c r="CF27" i="5"/>
  <c r="CJ27" i="5"/>
  <c r="AF27" i="5"/>
  <c r="W25" i="5"/>
  <c r="AA26" i="5"/>
  <c r="AE26" i="5"/>
  <c r="AI26" i="5"/>
  <c r="AM26" i="5"/>
  <c r="AQ26" i="5"/>
  <c r="AU26" i="5"/>
  <c r="AY26" i="5"/>
  <c r="BC26" i="5"/>
  <c r="BG26" i="5"/>
  <c r="BK26" i="5"/>
  <c r="BO26" i="5"/>
  <c r="BS26" i="5"/>
  <c r="BW26" i="5"/>
  <c r="S25" i="5"/>
  <c r="BG29" i="5"/>
  <c r="BK29" i="5"/>
  <c r="BO29" i="5"/>
  <c r="BS29" i="5"/>
  <c r="BW29" i="5"/>
  <c r="CA29" i="5"/>
  <c r="CE29" i="5"/>
  <c r="CI29" i="5"/>
  <c r="CM29" i="5"/>
  <c r="CQ29" i="5"/>
  <c r="CU29" i="5"/>
  <c r="CY29" i="5"/>
  <c r="DC29" i="5"/>
  <c r="DC25" i="5" s="1"/>
  <c r="DG29" i="5"/>
  <c r="DG25" i="5" s="1"/>
  <c r="DK29" i="5"/>
  <c r="DK25" i="5" s="1"/>
  <c r="AU28" i="5"/>
  <c r="AY28" i="5"/>
  <c r="BC28" i="5"/>
  <c r="BG28" i="5"/>
  <c r="BK28" i="5"/>
  <c r="BO28" i="5"/>
  <c r="BS28" i="5"/>
  <c r="BW28" i="5"/>
  <c r="CA28" i="5"/>
  <c r="CE28" i="5"/>
  <c r="CI28" i="5"/>
  <c r="CM28" i="5"/>
  <c r="CQ28" i="5"/>
  <c r="CQ25" i="5" s="1"/>
  <c r="CU28" i="5"/>
  <c r="CY28" i="5"/>
  <c r="AI27" i="5"/>
  <c r="AM27" i="5"/>
  <c r="AQ27" i="5"/>
  <c r="AU27" i="5"/>
  <c r="AY27" i="5"/>
  <c r="BC27" i="5"/>
  <c r="BG27" i="5"/>
  <c r="BK27" i="5"/>
  <c r="BO27" i="5"/>
  <c r="BS27" i="5"/>
  <c r="BW27" i="5"/>
  <c r="CA27" i="5"/>
  <c r="CE27" i="5"/>
  <c r="CI27" i="5"/>
  <c r="CM27" i="5"/>
  <c r="V25" i="5"/>
  <c r="Z26" i="5"/>
  <c r="AD26" i="5"/>
  <c r="AH26" i="5"/>
  <c r="AL26" i="5"/>
  <c r="AP26" i="5"/>
  <c r="AT26" i="5"/>
  <c r="AX26" i="5"/>
  <c r="BB26" i="5"/>
  <c r="BF26" i="5"/>
  <c r="BJ26" i="5"/>
  <c r="BN26" i="5"/>
  <c r="BR26" i="5"/>
  <c r="BV26" i="5"/>
  <c r="BZ26" i="5"/>
  <c r="BF29" i="5"/>
  <c r="BJ29" i="5"/>
  <c r="BN29" i="5"/>
  <c r="BR29" i="5"/>
  <c r="BV29" i="5"/>
  <c r="BZ29" i="5"/>
  <c r="CD29" i="5"/>
  <c r="CH29" i="5"/>
  <c r="CL29" i="5"/>
  <c r="CP29" i="5"/>
  <c r="CT29" i="5"/>
  <c r="CX29" i="5"/>
  <c r="DB29" i="5"/>
  <c r="DB25" i="5" s="1"/>
  <c r="DF29" i="5"/>
  <c r="DF25" i="5" s="1"/>
  <c r="DJ29" i="5"/>
  <c r="DJ25" i="5" s="1"/>
  <c r="AT28" i="5"/>
  <c r="AX28" i="5"/>
  <c r="BB28" i="5"/>
  <c r="BF28" i="5"/>
  <c r="BJ28" i="5"/>
  <c r="BN28" i="5"/>
  <c r="BR28" i="5"/>
  <c r="BV28" i="5"/>
  <c r="BZ28" i="5"/>
  <c r="CD28" i="5"/>
  <c r="CH28" i="5"/>
  <c r="CL28" i="5"/>
  <c r="CP28" i="5"/>
  <c r="CT28" i="5"/>
  <c r="CX28" i="5"/>
  <c r="AH27" i="5"/>
  <c r="AL27" i="5"/>
  <c r="AP27" i="5"/>
  <c r="AT27" i="5"/>
  <c r="AX27" i="5"/>
  <c r="BB27" i="5"/>
  <c r="BF27" i="5"/>
  <c r="BJ27" i="5"/>
  <c r="BN27" i="5"/>
  <c r="BR27" i="5"/>
  <c r="BV27" i="5"/>
  <c r="BZ27" i="5"/>
  <c r="CD27" i="5"/>
  <c r="CH27" i="5"/>
  <c r="CL27" i="5"/>
  <c r="U25" i="5"/>
  <c r="AC26" i="5"/>
  <c r="AG26" i="5"/>
  <c r="AK26" i="5"/>
  <c r="AO26" i="5"/>
  <c r="AS26" i="5"/>
  <c r="AW26" i="5"/>
  <c r="BA26" i="5"/>
  <c r="BE26" i="5"/>
  <c r="BI26" i="5"/>
  <c r="BM26" i="5"/>
  <c r="BQ26" i="5"/>
  <c r="BU26" i="5"/>
  <c r="BY26" i="5"/>
  <c r="BE29" i="5"/>
  <c r="BI29" i="5"/>
  <c r="BM29" i="5"/>
  <c r="BQ29" i="5"/>
  <c r="BU29" i="5"/>
  <c r="BY29" i="5"/>
  <c r="CC29" i="5"/>
  <c r="CG29" i="5"/>
  <c r="CK29" i="5"/>
  <c r="CO29" i="5"/>
  <c r="CS29" i="5"/>
  <c r="CW29" i="5"/>
  <c r="DA29" i="5"/>
  <c r="DA25" i="5" s="1"/>
  <c r="DE29" i="5"/>
  <c r="DE25" i="5" s="1"/>
  <c r="DI29" i="5"/>
  <c r="DI25" i="5" s="1"/>
  <c r="AS28" i="5"/>
  <c r="AW28" i="5"/>
  <c r="BA28" i="5"/>
  <c r="BE28" i="5"/>
  <c r="BI28" i="5"/>
  <c r="BM28" i="5"/>
  <c r="BQ28" i="5"/>
  <c r="BU28" i="5"/>
  <c r="BY28" i="5"/>
  <c r="CC28" i="5"/>
  <c r="CG28" i="5"/>
  <c r="CK28" i="5"/>
  <c r="CO28" i="5"/>
  <c r="CS28" i="5"/>
  <c r="CW28" i="5"/>
  <c r="AG27" i="5"/>
  <c r="AK27" i="5"/>
  <c r="AO27" i="5"/>
  <c r="AS27" i="5"/>
  <c r="AW27" i="5"/>
  <c r="BA27" i="5"/>
  <c r="BE27" i="5"/>
  <c r="BI27" i="5"/>
  <c r="BM27" i="5"/>
  <c r="BQ27" i="5"/>
  <c r="BU27" i="5"/>
  <c r="BY27" i="5"/>
  <c r="CC27" i="5"/>
  <c r="CG27" i="5"/>
  <c r="CK27" i="5"/>
  <c r="T25" i="5"/>
  <c r="X25" i="5"/>
  <c r="AB26" i="5"/>
  <c r="AF26" i="5"/>
  <c r="AJ26" i="5"/>
  <c r="AN26" i="5"/>
  <c r="AR26" i="5"/>
  <c r="AV26" i="5"/>
  <c r="AZ26" i="5"/>
  <c r="BD26" i="5"/>
  <c r="BH26" i="5"/>
  <c r="BL26" i="5"/>
  <c r="BP26" i="5"/>
  <c r="BT26" i="5"/>
  <c r="BX26" i="5"/>
  <c r="M63" i="5"/>
  <c r="L61" i="5"/>
  <c r="M20" i="22"/>
  <c r="L42" i="28"/>
  <c r="CN12" i="5" l="1"/>
  <c r="CH25" i="5"/>
  <c r="CP25" i="5"/>
  <c r="CJ25" i="5"/>
  <c r="CR25" i="5"/>
  <c r="CK12" i="5"/>
  <c r="CQ12" i="5"/>
  <c r="CR12" i="5"/>
  <c r="CM12" i="5"/>
  <c r="F69" i="5"/>
  <c r="CW12" i="5"/>
  <c r="CI25" i="5"/>
  <c r="CG25" i="5"/>
  <c r="CO25" i="5"/>
  <c r="CO12" i="5"/>
  <c r="CH12" i="5"/>
  <c r="CL12" i="5"/>
  <c r="CL25" i="5"/>
  <c r="CT25" i="5"/>
  <c r="CV25" i="5"/>
  <c r="L79" i="5"/>
  <c r="CK25" i="5"/>
  <c r="CS25" i="5"/>
  <c r="CM25" i="5"/>
  <c r="CU25" i="5"/>
  <c r="CW25" i="5"/>
  <c r="CX25" i="5"/>
  <c r="CY25" i="5"/>
  <c r="CN25" i="5"/>
  <c r="CS12" i="5"/>
  <c r="CI12" i="5"/>
  <c r="CY12" i="5"/>
  <c r="L66" i="5"/>
  <c r="CT12" i="5"/>
  <c r="CX12" i="5"/>
  <c r="CJ12" i="5"/>
  <c r="CG12" i="5"/>
  <c r="CP12" i="5"/>
  <c r="I81" i="5"/>
  <c r="K82" i="5"/>
  <c r="G82" i="5"/>
  <c r="I83" i="5"/>
  <c r="E81" i="5"/>
  <c r="H68" i="5"/>
  <c r="H69" i="5"/>
  <c r="J70" i="5"/>
  <c r="G70" i="5"/>
  <c r="H81" i="5"/>
  <c r="J82" i="5"/>
  <c r="L83" i="5"/>
  <c r="H83" i="5"/>
  <c r="F82" i="5"/>
  <c r="F68" i="5"/>
  <c r="K69" i="5"/>
  <c r="G69" i="5"/>
  <c r="I70" i="5"/>
  <c r="E68" i="5"/>
  <c r="G81" i="5"/>
  <c r="J68" i="5"/>
  <c r="G68" i="5"/>
  <c r="I68" i="5"/>
  <c r="J69" i="5"/>
  <c r="L70" i="5"/>
  <c r="K12" i="16" s="1"/>
  <c r="H70" i="5"/>
  <c r="I82" i="5"/>
  <c r="K83" i="5"/>
  <c r="G83" i="5"/>
  <c r="J81" i="5"/>
  <c r="F81" i="5"/>
  <c r="H82" i="5"/>
  <c r="J83" i="5"/>
  <c r="I69" i="5"/>
  <c r="K70" i="5"/>
  <c r="D67" i="5"/>
  <c r="I80" i="5"/>
  <c r="I67" i="5"/>
  <c r="R133" i="18"/>
  <c r="J79" i="5" l="1"/>
  <c r="K66" i="5"/>
  <c r="K79" i="5"/>
  <c r="J66" i="5"/>
  <c r="I12" i="16"/>
  <c r="J12" i="16"/>
  <c r="R134" i="18"/>
  <c r="O134" i="18" l="1"/>
  <c r="O132" i="18"/>
  <c r="O131" i="18"/>
  <c r="B21" i="1"/>
  <c r="B17" i="39"/>
  <c r="AB4" i="5"/>
  <c r="AC4" i="5"/>
  <c r="AF75" i="18" s="1"/>
  <c r="AD4" i="5"/>
  <c r="AG75" i="18" s="1"/>
  <c r="AE4" i="5"/>
  <c r="AH75" i="18" s="1"/>
  <c r="AF4" i="5"/>
  <c r="AI75" i="18" s="1"/>
  <c r="AG4" i="5"/>
  <c r="AJ75" i="18" s="1"/>
  <c r="AH4" i="5"/>
  <c r="AK75" i="18" s="1"/>
  <c r="AI4" i="5"/>
  <c r="AL75" i="18" s="1"/>
  <c r="AJ4" i="5"/>
  <c r="AM75" i="18" s="1"/>
  <c r="AK4" i="5"/>
  <c r="AN75" i="18" s="1"/>
  <c r="AL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B8" i="39"/>
  <c r="B18" i="39" s="1"/>
  <c r="AC2" i="45"/>
  <c r="AD2" i="45"/>
  <c r="AE2" i="45"/>
  <c r="AF2" i="45"/>
  <c r="AG2" i="45"/>
  <c r="AH2" i="45"/>
  <c r="AI2" i="45"/>
  <c r="AJ2" i="45"/>
  <c r="AK2" i="45"/>
  <c r="AL2" i="45"/>
  <c r="AM2" i="45"/>
  <c r="AN2" i="45"/>
  <c r="AO2" i="45"/>
  <c r="AP2" i="45"/>
  <c r="AQ2" i="45"/>
  <c r="AR2" i="45"/>
  <c r="AS2" i="45"/>
  <c r="AT2" i="45"/>
  <c r="AU2" i="45"/>
  <c r="AV2" i="45"/>
  <c r="AW2" i="45"/>
  <c r="AX2" i="45"/>
  <c r="AY2" i="45"/>
  <c r="AZ2" i="45"/>
  <c r="BA2" i="45"/>
  <c r="BB2" i="45"/>
  <c r="BC2" i="45"/>
  <c r="BD2" i="45"/>
  <c r="BE2" i="45"/>
  <c r="BF2" i="45"/>
  <c r="BG2" i="45"/>
  <c r="BH2" i="45"/>
  <c r="BI2" i="45"/>
  <c r="BJ2" i="45"/>
  <c r="BK2" i="45"/>
  <c r="BL2" i="45"/>
  <c r="BM2" i="45"/>
  <c r="BN2" i="45"/>
  <c r="BO2" i="45"/>
  <c r="BP2" i="45"/>
  <c r="BQ2" i="45"/>
  <c r="BR2" i="45"/>
  <c r="BS2" i="45"/>
  <c r="BT2" i="45"/>
  <c r="BU2" i="45"/>
  <c r="BV2" i="45"/>
  <c r="BW2" i="45"/>
  <c r="BX2" i="45"/>
  <c r="BY2" i="45"/>
  <c r="BZ2" i="45"/>
  <c r="CA2" i="45"/>
  <c r="CB2" i="45"/>
  <c r="CC2" i="45"/>
  <c r="CD2" i="45"/>
  <c r="CE2" i="45"/>
  <c r="CF2" i="45"/>
  <c r="CG2" i="45"/>
  <c r="CH2" i="45"/>
  <c r="CI2" i="45"/>
  <c r="CJ2" i="45"/>
  <c r="CK2" i="45"/>
  <c r="CL2" i="45"/>
  <c r="CM2" i="45"/>
  <c r="CN2" i="45"/>
  <c r="CO2" i="45"/>
  <c r="CP2" i="45"/>
  <c r="CQ2" i="45"/>
  <c r="CR2" i="45"/>
  <c r="CS2" i="45"/>
  <c r="CT2" i="45"/>
  <c r="CU2" i="45"/>
  <c r="CV2" i="45"/>
  <c r="AI25" i="28"/>
  <c r="E35" i="28"/>
  <c r="F35" i="28"/>
  <c r="G35" i="28"/>
  <c r="H35" i="28"/>
  <c r="I35" i="28"/>
  <c r="D35" i="28"/>
  <c r="AL24" i="28"/>
  <c r="AX24" i="28"/>
  <c r="BJ24" i="28"/>
  <c r="BV24" i="28"/>
  <c r="CH24" i="28"/>
  <c r="AA25" i="28"/>
  <c r="AB25" i="28"/>
  <c r="AC25" i="28"/>
  <c r="AD25" i="28"/>
  <c r="AE25" i="28"/>
  <c r="AF25" i="28"/>
  <c r="AG25" i="28"/>
  <c r="AH25" i="28"/>
  <c r="AJ25" i="28"/>
  <c r="AK25" i="28"/>
  <c r="AL25" i="28"/>
  <c r="AM25" i="28"/>
  <c r="AN25" i="28"/>
  <c r="AO25" i="28"/>
  <c r="AP25" i="28"/>
  <c r="AQ25" i="28"/>
  <c r="AR25" i="28"/>
  <c r="AS25" i="28"/>
  <c r="AT25" i="28"/>
  <c r="AU25" i="28"/>
  <c r="AV25" i="28"/>
  <c r="AW25" i="28"/>
  <c r="AX25" i="28"/>
  <c r="AY25" i="28"/>
  <c r="AZ25" i="28"/>
  <c r="BA25" i="28"/>
  <c r="BB25" i="28"/>
  <c r="BC25" i="28"/>
  <c r="BD25" i="28"/>
  <c r="BE25" i="28"/>
  <c r="BF25" i="28"/>
  <c r="BG25" i="28"/>
  <c r="BH25" i="28"/>
  <c r="BI25" i="28"/>
  <c r="BJ25" i="28"/>
  <c r="BK25" i="28"/>
  <c r="BL25" i="28"/>
  <c r="BM25" i="28"/>
  <c r="BN25" i="28"/>
  <c r="BO25" i="28"/>
  <c r="BP25" i="28"/>
  <c r="BQ25" i="28"/>
  <c r="BR25" i="28"/>
  <c r="BS25" i="28"/>
  <c r="BT25" i="28"/>
  <c r="BU25" i="28"/>
  <c r="BV25" i="28"/>
  <c r="BW25" i="28"/>
  <c r="BX25" i="28"/>
  <c r="BY25" i="28"/>
  <c r="BZ25" i="28"/>
  <c r="CA25" i="28"/>
  <c r="CB25" i="28"/>
  <c r="CC25" i="28"/>
  <c r="CD25" i="28"/>
  <c r="CE25" i="28"/>
  <c r="CF25" i="28"/>
  <c r="CG25" i="28"/>
  <c r="CH25" i="28"/>
  <c r="CI25" i="28"/>
  <c r="CJ25" i="28"/>
  <c r="CK25" i="28"/>
  <c r="CL25" i="28"/>
  <c r="CM25" i="28"/>
  <c r="CN25" i="28"/>
  <c r="CO25" i="28"/>
  <c r="CP25" i="28"/>
  <c r="CQ25" i="28"/>
  <c r="CR25" i="28"/>
  <c r="CS25" i="28"/>
  <c r="Z25" i="28"/>
  <c r="CH3" i="42"/>
  <c r="CI3" i="42"/>
  <c r="CJ3" i="42"/>
  <c r="CK3" i="42"/>
  <c r="CL3" i="42"/>
  <c r="CM3" i="42"/>
  <c r="CN3" i="42"/>
  <c r="CO3" i="42"/>
  <c r="CP3" i="42"/>
  <c r="CQ3" i="42"/>
  <c r="CR3" i="42"/>
  <c r="CS3" i="42"/>
  <c r="BV3" i="42"/>
  <c r="BW3" i="42"/>
  <c r="BX3" i="42"/>
  <c r="BY3" i="42"/>
  <c r="BZ3" i="42"/>
  <c r="CA3" i="42"/>
  <c r="CB3" i="42"/>
  <c r="CC3" i="42"/>
  <c r="CD3" i="42"/>
  <c r="CE3" i="42"/>
  <c r="CF3" i="42"/>
  <c r="CG3" i="42"/>
  <c r="BJ3" i="42"/>
  <c r="BK3" i="42"/>
  <c r="BL3" i="42"/>
  <c r="BM3" i="42"/>
  <c r="BN3" i="42"/>
  <c r="BO3" i="42"/>
  <c r="BP3" i="42"/>
  <c r="BQ3" i="42"/>
  <c r="BR3" i="42"/>
  <c r="BS3" i="42"/>
  <c r="BT3" i="42"/>
  <c r="BU3" i="42"/>
  <c r="AX3" i="42"/>
  <c r="AY3" i="42"/>
  <c r="AZ3" i="42"/>
  <c r="BA3" i="42"/>
  <c r="BB3" i="42"/>
  <c r="BC3" i="42"/>
  <c r="BD3" i="42"/>
  <c r="BE3" i="42"/>
  <c r="BF3" i="42"/>
  <c r="BG3" i="42"/>
  <c r="BH3" i="42"/>
  <c r="BI3" i="42"/>
  <c r="AL3" i="42"/>
  <c r="AM3" i="42"/>
  <c r="AN3" i="42"/>
  <c r="AO3" i="42"/>
  <c r="AP3" i="42"/>
  <c r="AQ3" i="42"/>
  <c r="AR3" i="42"/>
  <c r="AS3" i="42"/>
  <c r="AT3" i="42"/>
  <c r="AU3" i="42"/>
  <c r="AV3" i="42"/>
  <c r="AW3" i="42"/>
  <c r="B65" i="5"/>
  <c r="Z3" i="42"/>
  <c r="AA3" i="42"/>
  <c r="AB3" i="42"/>
  <c r="AC3" i="42"/>
  <c r="AD3" i="42"/>
  <c r="AE3" i="42"/>
  <c r="AF3" i="42"/>
  <c r="AG3" i="42"/>
  <c r="AH3" i="42"/>
  <c r="AI3" i="42"/>
  <c r="AJ3" i="42"/>
  <c r="AK3" i="42"/>
  <c r="B1" i="13"/>
  <c r="B2" i="13"/>
  <c r="F18" i="13" s="1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A15" i="30"/>
  <c r="B59" i="5"/>
  <c r="B61" i="5"/>
  <c r="B62" i="5"/>
  <c r="B63" i="5"/>
  <c r="B64" i="5"/>
  <c r="F14" i="13" l="1"/>
  <c r="F8" i="13"/>
  <c r="F17" i="13"/>
  <c r="F16" i="13"/>
  <c r="F6" i="13"/>
  <c r="F11" i="13"/>
  <c r="F9" i="13"/>
  <c r="F19" i="13"/>
  <c r="F20" i="13"/>
  <c r="F15" i="13"/>
  <c r="F21" i="13"/>
  <c r="F13" i="13"/>
  <c r="B4" i="16"/>
  <c r="B6" i="16"/>
  <c r="AD7" i="42"/>
  <c r="C4" i="16"/>
  <c r="D4" i="16"/>
  <c r="C6" i="16"/>
  <c r="E4" i="16"/>
  <c r="F4" i="16"/>
  <c r="G4" i="16"/>
  <c r="H4" i="16"/>
  <c r="I4" i="16"/>
  <c r="J4" i="16"/>
  <c r="K4" i="16"/>
  <c r="L4" i="16"/>
  <c r="BV75" i="18"/>
  <c r="BV76" i="18" s="1"/>
  <c r="BR75" i="18"/>
  <c r="BR76" i="18" s="1"/>
  <c r="BN75" i="18"/>
  <c r="BN76" i="18" s="1"/>
  <c r="BJ75" i="18"/>
  <c r="BJ76" i="18" s="1"/>
  <c r="BF75" i="18"/>
  <c r="BF76" i="18" s="1"/>
  <c r="BB75" i="18"/>
  <c r="BB76" i="18" s="1"/>
  <c r="AX75" i="18"/>
  <c r="AX76" i="18" s="1"/>
  <c r="AT75" i="18"/>
  <c r="AT76" i="18" s="1"/>
  <c r="AO75" i="18"/>
  <c r="AO76" i="18" s="1"/>
  <c r="BW75" i="18"/>
  <c r="BW76" i="18" s="1"/>
  <c r="BS75" i="18"/>
  <c r="BS76" i="18" s="1"/>
  <c r="BO75" i="18"/>
  <c r="BO76" i="18" s="1"/>
  <c r="BK75" i="18"/>
  <c r="BK76" i="18" s="1"/>
  <c r="BG75" i="18"/>
  <c r="BG76" i="18" s="1"/>
  <c r="BC75" i="18"/>
  <c r="BC76" i="18" s="1"/>
  <c r="AY75" i="18"/>
  <c r="AY76" i="18" s="1"/>
  <c r="AU75" i="18"/>
  <c r="AU76" i="18" s="1"/>
  <c r="AQ75" i="18"/>
  <c r="AQ76" i="18" s="1"/>
  <c r="BX75" i="18"/>
  <c r="BX76" i="18" s="1"/>
  <c r="BT75" i="18"/>
  <c r="BT76" i="18" s="1"/>
  <c r="BP75" i="18"/>
  <c r="BP76" i="18" s="1"/>
  <c r="BL75" i="18"/>
  <c r="BL76" i="18" s="1"/>
  <c r="BH75" i="18"/>
  <c r="BH76" i="18" s="1"/>
  <c r="BD75" i="18"/>
  <c r="BD76" i="18" s="1"/>
  <c r="AZ75" i="18"/>
  <c r="AZ76" i="18" s="1"/>
  <c r="AV75" i="18"/>
  <c r="AV76" i="18" s="1"/>
  <c r="AR75" i="18"/>
  <c r="AR76" i="18" s="1"/>
  <c r="BY75" i="18"/>
  <c r="BY76" i="18" s="1"/>
  <c r="BU75" i="18"/>
  <c r="BU76" i="18" s="1"/>
  <c r="BQ75" i="18"/>
  <c r="BQ76" i="18" s="1"/>
  <c r="BM75" i="18"/>
  <c r="BM76" i="18" s="1"/>
  <c r="BI75" i="18"/>
  <c r="BI76" i="18" s="1"/>
  <c r="BE75" i="18"/>
  <c r="BE76" i="18" s="1"/>
  <c r="BA75" i="18"/>
  <c r="BA76" i="18" s="1"/>
  <c r="AW75" i="18"/>
  <c r="AW76" i="18" s="1"/>
  <c r="AS75" i="18"/>
  <c r="AS76" i="18" s="1"/>
  <c r="F7" i="42"/>
  <c r="J7" i="42"/>
  <c r="N7" i="42"/>
  <c r="R7" i="42"/>
  <c r="Z7" i="42"/>
  <c r="AH7" i="42"/>
  <c r="AL7" i="42"/>
  <c r="AP7" i="42"/>
  <c r="AT7" i="42"/>
  <c r="AX7" i="42"/>
  <c r="BB7" i="42"/>
  <c r="BF7" i="42"/>
  <c r="BJ7" i="42"/>
  <c r="BN7" i="42"/>
  <c r="BR7" i="42"/>
  <c r="BV7" i="42"/>
  <c r="BZ7" i="42"/>
  <c r="CD7" i="42"/>
  <c r="CH7" i="42"/>
  <c r="CL7" i="42"/>
  <c r="CP7" i="42"/>
  <c r="CT7" i="42"/>
  <c r="CX7" i="42"/>
  <c r="DB7" i="42"/>
  <c r="DF7" i="42"/>
  <c r="DJ7" i="42"/>
  <c r="DN7" i="42"/>
  <c r="DR7" i="42"/>
  <c r="DV7" i="42"/>
  <c r="DZ7" i="42"/>
  <c r="E7" i="42"/>
  <c r="I7" i="42"/>
  <c r="M7" i="42"/>
  <c r="Q7" i="42"/>
  <c r="U7" i="42"/>
  <c r="Y7" i="42"/>
  <c r="AC7" i="42"/>
  <c r="AG7" i="42"/>
  <c r="AK7" i="42"/>
  <c r="AO7" i="42"/>
  <c r="AS7" i="42"/>
  <c r="AW7" i="42"/>
  <c r="BA7" i="42"/>
  <c r="BE7" i="42"/>
  <c r="BI7" i="42"/>
  <c r="BM7" i="42"/>
  <c r="BQ7" i="42"/>
  <c r="BU7" i="42"/>
  <c r="BY7" i="42"/>
  <c r="CC7" i="42"/>
  <c r="CG7" i="42"/>
  <c r="CK7" i="42"/>
  <c r="CO7" i="42"/>
  <c r="CS7" i="42"/>
  <c r="CW7" i="42"/>
  <c r="DA7" i="42"/>
  <c r="DE7" i="42"/>
  <c r="DI7" i="42"/>
  <c r="DM7" i="42"/>
  <c r="DQ7" i="42"/>
  <c r="DU7" i="42"/>
  <c r="DY7" i="42"/>
  <c r="EC7" i="42"/>
  <c r="D7" i="42"/>
  <c r="H7" i="42"/>
  <c r="L7" i="42"/>
  <c r="P7" i="42"/>
  <c r="T7" i="42"/>
  <c r="X7" i="42"/>
  <c r="AB7" i="42"/>
  <c r="AF7" i="42"/>
  <c r="AJ7" i="42"/>
  <c r="AN7" i="42"/>
  <c r="AR7" i="42"/>
  <c r="AV7" i="42"/>
  <c r="AZ7" i="42"/>
  <c r="BD7" i="42"/>
  <c r="BH7" i="42"/>
  <c r="BL7" i="42"/>
  <c r="BP7" i="42"/>
  <c r="BT7" i="42"/>
  <c r="BX7" i="42"/>
  <c r="CB7" i="42"/>
  <c r="CF7" i="42"/>
  <c r="CJ7" i="42"/>
  <c r="CN7" i="42"/>
  <c r="CR7" i="42"/>
  <c r="CV7" i="42"/>
  <c r="CZ7" i="42"/>
  <c r="DD7" i="42"/>
  <c r="DH7" i="42"/>
  <c r="DL7" i="42"/>
  <c r="DP7" i="42"/>
  <c r="DT7" i="42"/>
  <c r="DX7" i="42"/>
  <c r="EB7" i="42"/>
  <c r="G7" i="42"/>
  <c r="O7" i="42"/>
  <c r="S7" i="42"/>
  <c r="AA7" i="42"/>
  <c r="AE7" i="42"/>
  <c r="AI7" i="42"/>
  <c r="AM7" i="42"/>
  <c r="AQ7" i="42"/>
  <c r="AU7" i="42"/>
  <c r="AY7" i="42"/>
  <c r="BC7" i="42"/>
  <c r="BG7" i="42"/>
  <c r="BK7" i="42"/>
  <c r="BO7" i="42"/>
  <c r="BS7" i="42"/>
  <c r="BW7" i="42"/>
  <c r="CA7" i="42"/>
  <c r="CE7" i="42"/>
  <c r="CI7" i="42"/>
  <c r="CM7" i="42"/>
  <c r="CQ7" i="42"/>
  <c r="CU7" i="42"/>
  <c r="CY7" i="42"/>
  <c r="DC7" i="42"/>
  <c r="DG7" i="42"/>
  <c r="DK7" i="42"/>
  <c r="DO7" i="42"/>
  <c r="DS7" i="42"/>
  <c r="DW7" i="42"/>
  <c r="EA7" i="42"/>
  <c r="B7" i="42"/>
  <c r="C84" i="18"/>
  <c r="C94" i="18"/>
  <c r="C98" i="18"/>
  <c r="C102" i="18"/>
  <c r="C106" i="18"/>
  <c r="C110" i="18"/>
  <c r="C114" i="18"/>
  <c r="C118" i="18"/>
  <c r="C97" i="18"/>
  <c r="C105" i="18"/>
  <c r="C113" i="18"/>
  <c r="C92" i="18"/>
  <c r="C96" i="18"/>
  <c r="C100" i="18"/>
  <c r="C104" i="18"/>
  <c r="C108" i="18"/>
  <c r="C112" i="18"/>
  <c r="C116" i="18"/>
  <c r="C83" i="18"/>
  <c r="C93" i="18"/>
  <c r="C101" i="18"/>
  <c r="C109" i="18"/>
  <c r="C117" i="18"/>
  <c r="C82" i="18"/>
  <c r="C95" i="18"/>
  <c r="C99" i="18"/>
  <c r="C103" i="18"/>
  <c r="C107" i="18"/>
  <c r="C111" i="18"/>
  <c r="C115" i="18"/>
  <c r="C121" i="18"/>
  <c r="C122" i="18"/>
  <c r="C119" i="18"/>
  <c r="C120" i="18"/>
  <c r="K7" i="42"/>
  <c r="V7" i="42"/>
  <c r="W7" i="42"/>
  <c r="B6" i="42"/>
  <c r="F6" i="42"/>
  <c r="J6" i="42"/>
  <c r="B5" i="42"/>
  <c r="F5" i="42"/>
  <c r="J5" i="42"/>
  <c r="B4" i="42"/>
  <c r="F4" i="42"/>
  <c r="J4" i="42"/>
  <c r="N4" i="42"/>
  <c r="H6" i="42"/>
  <c r="D5" i="42"/>
  <c r="L5" i="42"/>
  <c r="H4" i="42"/>
  <c r="E6" i="42"/>
  <c r="I6" i="42"/>
  <c r="M6" i="42"/>
  <c r="E5" i="42"/>
  <c r="I5" i="42"/>
  <c r="M5" i="42"/>
  <c r="E4" i="42"/>
  <c r="I4" i="42"/>
  <c r="M4" i="42"/>
  <c r="D6" i="42"/>
  <c r="L6" i="42"/>
  <c r="H5" i="42"/>
  <c r="D4" i="42"/>
  <c r="L4" i="42"/>
  <c r="C6" i="42"/>
  <c r="G6" i="42"/>
  <c r="K6" i="42"/>
  <c r="C5" i="42"/>
  <c r="G5" i="42"/>
  <c r="K5" i="42"/>
  <c r="C4" i="42"/>
  <c r="G4" i="42"/>
  <c r="K4" i="42"/>
  <c r="Q93" i="18"/>
  <c r="O4" i="42"/>
  <c r="W4" i="42"/>
  <c r="U5" i="42"/>
  <c r="N5" i="42"/>
  <c r="P4" i="42"/>
  <c r="X4" i="42"/>
  <c r="U6" i="42"/>
  <c r="V6" i="42"/>
  <c r="V4" i="42"/>
  <c r="Q4" i="42"/>
  <c r="Y4" i="42"/>
  <c r="R4" i="42"/>
  <c r="N6" i="42"/>
  <c r="S4" i="42"/>
  <c r="V5" i="42"/>
  <c r="T4" i="42"/>
  <c r="U4" i="42"/>
  <c r="Q5" i="42"/>
  <c r="W5" i="42"/>
  <c r="R6" i="42"/>
  <c r="R5" i="42"/>
  <c r="P5" i="42"/>
  <c r="O5" i="42"/>
  <c r="Q6" i="42"/>
  <c r="W6" i="42"/>
  <c r="T5" i="42"/>
  <c r="O6" i="42"/>
  <c r="X6" i="42"/>
  <c r="Y5" i="42"/>
  <c r="S6" i="42"/>
  <c r="S5" i="42"/>
  <c r="Y6" i="42"/>
  <c r="P6" i="42"/>
  <c r="T6" i="42"/>
  <c r="X5" i="42"/>
  <c r="C3" i="16"/>
  <c r="B3" i="16"/>
  <c r="B5" i="16" s="1"/>
  <c r="AC4" i="42"/>
  <c r="AJ4" i="42"/>
  <c r="AB4" i="42"/>
  <c r="AG4" i="42"/>
  <c r="Z4" i="42"/>
  <c r="AD4" i="42"/>
  <c r="AF4" i="42"/>
  <c r="AE4" i="42"/>
  <c r="AI4" i="42"/>
  <c r="AH4" i="42"/>
  <c r="AA4" i="42"/>
  <c r="AK4" i="42"/>
  <c r="AS4" i="42"/>
  <c r="AR4" i="42"/>
  <c r="AV4" i="42"/>
  <c r="AL4" i="42"/>
  <c r="AM4" i="42"/>
  <c r="AP4" i="42"/>
  <c r="AQ4" i="42"/>
  <c r="AT4" i="42"/>
  <c r="AO4" i="42"/>
  <c r="AW4" i="42"/>
  <c r="AU4" i="42"/>
  <c r="AN4" i="42"/>
  <c r="D3" i="16"/>
  <c r="BA4" i="42"/>
  <c r="BH4" i="42"/>
  <c r="BB4" i="42"/>
  <c r="BE4" i="42"/>
  <c r="BI4" i="42"/>
  <c r="BC4" i="42"/>
  <c r="BD4" i="42"/>
  <c r="BG4" i="42"/>
  <c r="AZ4" i="42"/>
  <c r="AX4" i="42"/>
  <c r="AY4" i="42"/>
  <c r="BF4" i="42"/>
  <c r="BQ4" i="42"/>
  <c r="BU4" i="42"/>
  <c r="BS4" i="42"/>
  <c r="BT4" i="42"/>
  <c r="BK4" i="42"/>
  <c r="BN4" i="42"/>
  <c r="BP4" i="42"/>
  <c r="BL4" i="42"/>
  <c r="BO4" i="42"/>
  <c r="BR4" i="42"/>
  <c r="BJ4" i="42"/>
  <c r="BM4" i="42"/>
  <c r="BY4" i="42"/>
  <c r="BZ4" i="42"/>
  <c r="CA4" i="42"/>
  <c r="BW4" i="42"/>
  <c r="CD4" i="42"/>
  <c r="CB4" i="42"/>
  <c r="BX4" i="42"/>
  <c r="CC4" i="42"/>
  <c r="CF4" i="42"/>
  <c r="CG4" i="42"/>
  <c r="BV4" i="42"/>
  <c r="CE4" i="42"/>
  <c r="CO4" i="42"/>
  <c r="CP4" i="42"/>
  <c r="CN4" i="42"/>
  <c r="CQ4" i="42"/>
  <c r="CI4" i="42"/>
  <c r="CH4" i="42"/>
  <c r="CS4" i="42"/>
  <c r="CL4" i="42"/>
  <c r="CJ4" i="42"/>
  <c r="CM4" i="42"/>
  <c r="CR4" i="42"/>
  <c r="CK4" i="42"/>
  <c r="DC4" i="42"/>
  <c r="CT4" i="42"/>
  <c r="CY4" i="42"/>
  <c r="CV4" i="42"/>
  <c r="DA4" i="42"/>
  <c r="CU4" i="42"/>
  <c r="CX4" i="42"/>
  <c r="CZ4" i="42"/>
  <c r="DB4" i="42"/>
  <c r="DD4" i="42"/>
  <c r="DE4" i="42"/>
  <c r="CW4" i="42"/>
  <c r="DJ4" i="42"/>
  <c r="DK4" i="42"/>
  <c r="DL4" i="42"/>
  <c r="DI4" i="42"/>
  <c r="DP4" i="42"/>
  <c r="DQ4" i="42"/>
  <c r="DN4" i="42"/>
  <c r="DF4" i="42"/>
  <c r="DO4" i="42"/>
  <c r="DH4" i="42"/>
  <c r="DM4" i="42"/>
  <c r="DG4" i="42"/>
  <c r="DX4" i="42"/>
  <c r="EC4" i="42"/>
  <c r="DS4" i="42"/>
  <c r="DV4" i="42"/>
  <c r="DZ4" i="42"/>
  <c r="EB4" i="42"/>
  <c r="DY4" i="42"/>
  <c r="DR4" i="42"/>
  <c r="DW4" i="42"/>
  <c r="DT4" i="42"/>
  <c r="EA4" i="42"/>
  <c r="DU4" i="42"/>
  <c r="E15" i="13"/>
  <c r="E58" i="5"/>
  <c r="J58" i="5"/>
  <c r="H58" i="5"/>
  <c r="G58" i="5"/>
  <c r="E18" i="13"/>
  <c r="E6" i="13"/>
  <c r="J3" i="16"/>
  <c r="K3" i="16"/>
  <c r="L3" i="16"/>
  <c r="F7" i="13"/>
  <c r="F10" i="13"/>
  <c r="F5" i="13"/>
  <c r="F12" i="13"/>
  <c r="E8" i="13"/>
  <c r="E21" i="13"/>
  <c r="E17" i="13"/>
  <c r="E13" i="13"/>
  <c r="E9" i="13"/>
  <c r="E5" i="13"/>
  <c r="E10" i="13"/>
  <c r="E20" i="13"/>
  <c r="E16" i="13"/>
  <c r="E12" i="13"/>
  <c r="AD5" i="42"/>
  <c r="AB5" i="42"/>
  <c r="AH5" i="42"/>
  <c r="AK5" i="42"/>
  <c r="AC5" i="42"/>
  <c r="AE5" i="42"/>
  <c r="AJ5" i="42"/>
  <c r="AG5" i="42"/>
  <c r="AA5" i="42"/>
  <c r="AF5" i="42"/>
  <c r="AI5" i="42"/>
  <c r="Z5" i="42"/>
  <c r="E14" i="13"/>
  <c r="E19" i="13"/>
  <c r="E11" i="13"/>
  <c r="E7" i="13"/>
  <c r="D1" i="13"/>
  <c r="BW4" i="5"/>
  <c r="I58" i="5" s="1"/>
  <c r="AM4" i="5"/>
  <c r="AP75" i="18" s="1"/>
  <c r="C5" i="16" l="1"/>
  <c r="D5" i="16"/>
  <c r="Q122" i="18"/>
  <c r="AG122" i="18"/>
  <c r="AW122" i="18"/>
  <c r="BM122" i="18"/>
  <c r="CC122" i="18"/>
  <c r="CS122" i="18"/>
  <c r="DI122" i="18"/>
  <c r="T122" i="18"/>
  <c r="AJ122" i="18"/>
  <c r="AZ122" i="18"/>
  <c r="BP122" i="18"/>
  <c r="CF122" i="18"/>
  <c r="CV122" i="18"/>
  <c r="DL122" i="18"/>
  <c r="W122" i="18"/>
  <c r="AM122" i="18"/>
  <c r="BC122" i="18"/>
  <c r="BS122" i="18"/>
  <c r="CI122" i="18"/>
  <c r="CY122" i="18"/>
  <c r="DO122" i="18"/>
  <c r="Z122" i="18"/>
  <c r="AP122" i="18"/>
  <c r="BF122" i="18"/>
  <c r="BV122" i="18"/>
  <c r="CL122" i="18"/>
  <c r="DB122" i="18"/>
  <c r="DR122" i="18"/>
  <c r="U122" i="18"/>
  <c r="BA122" i="18"/>
  <c r="BQ122" i="18"/>
  <c r="CW122" i="18"/>
  <c r="DM122" i="18"/>
  <c r="X122" i="18"/>
  <c r="BD122" i="18"/>
  <c r="BT122" i="18"/>
  <c r="CZ122" i="18"/>
  <c r="DP122" i="18"/>
  <c r="AQ122" i="18"/>
  <c r="BW122" i="18"/>
  <c r="CM122" i="18"/>
  <c r="DS122" i="18"/>
  <c r="AT122" i="18"/>
  <c r="BZ122" i="18"/>
  <c r="CP122" i="18"/>
  <c r="P122" i="18"/>
  <c r="AC122" i="18"/>
  <c r="AS122" i="18"/>
  <c r="BI122" i="18"/>
  <c r="BY122" i="18"/>
  <c r="CO122" i="18"/>
  <c r="DE122" i="18"/>
  <c r="DU122" i="18"/>
  <c r="AF122" i="18"/>
  <c r="AV122" i="18"/>
  <c r="BL122" i="18"/>
  <c r="CB122" i="18"/>
  <c r="CR122" i="18"/>
  <c r="DH122" i="18"/>
  <c r="S122" i="18"/>
  <c r="AI122" i="18"/>
  <c r="AY122" i="18"/>
  <c r="BO122" i="18"/>
  <c r="CE122" i="18"/>
  <c r="CU122" i="18"/>
  <c r="DK122" i="18"/>
  <c r="V122" i="18"/>
  <c r="AL122" i="18"/>
  <c r="BB122" i="18"/>
  <c r="BR122" i="18"/>
  <c r="CH122" i="18"/>
  <c r="CX122" i="18"/>
  <c r="DN122" i="18"/>
  <c r="AK122" i="18"/>
  <c r="CG122" i="18"/>
  <c r="AN122" i="18"/>
  <c r="CJ122" i="18"/>
  <c r="AA122" i="18"/>
  <c r="BG122" i="18"/>
  <c r="DC122" i="18"/>
  <c r="AD122" i="18"/>
  <c r="BJ122" i="18"/>
  <c r="DF122" i="18"/>
  <c r="Y122" i="18"/>
  <c r="AO122" i="18"/>
  <c r="BE122" i="18"/>
  <c r="BU122" i="18"/>
  <c r="CK122" i="18"/>
  <c r="DA122" i="18"/>
  <c r="DQ122" i="18"/>
  <c r="AB122" i="18"/>
  <c r="AR122" i="18"/>
  <c r="BH122" i="18"/>
  <c r="BX122" i="18"/>
  <c r="CN122" i="18"/>
  <c r="DD122" i="18"/>
  <c r="DT122" i="18"/>
  <c r="AE122" i="18"/>
  <c r="AU122" i="18"/>
  <c r="BK122" i="18"/>
  <c r="CA122" i="18"/>
  <c r="CQ122" i="18"/>
  <c r="DG122" i="18"/>
  <c r="R122" i="18"/>
  <c r="AH122" i="18"/>
  <c r="AX122" i="18"/>
  <c r="BN122" i="18"/>
  <c r="CD122" i="18"/>
  <c r="CT122" i="18"/>
  <c r="DJ122" i="18"/>
  <c r="AD107" i="18"/>
  <c r="AT107" i="18"/>
  <c r="BJ107" i="18"/>
  <c r="BZ107" i="18"/>
  <c r="CP107" i="18"/>
  <c r="DF107" i="18"/>
  <c r="Q107" i="18"/>
  <c r="AG107" i="18"/>
  <c r="AW107" i="18"/>
  <c r="BM107" i="18"/>
  <c r="CC107" i="18"/>
  <c r="CS107" i="18"/>
  <c r="DI107" i="18"/>
  <c r="T107" i="18"/>
  <c r="AJ107" i="18"/>
  <c r="AZ107" i="18"/>
  <c r="BP107" i="18"/>
  <c r="CF107" i="18"/>
  <c r="CV107" i="18"/>
  <c r="DL107" i="18"/>
  <c r="W107" i="18"/>
  <c r="AM107" i="18"/>
  <c r="BC107" i="18"/>
  <c r="BS107" i="18"/>
  <c r="CI107" i="18"/>
  <c r="CY107" i="18"/>
  <c r="DO107" i="18"/>
  <c r="R107" i="18"/>
  <c r="AL107" i="18"/>
  <c r="BF107" i="18"/>
  <c r="CD107" i="18"/>
  <c r="CX107" i="18"/>
  <c r="DR107" i="18"/>
  <c r="AK107" i="18"/>
  <c r="BE107" i="18"/>
  <c r="BY107" i="18"/>
  <c r="CW107" i="18"/>
  <c r="DQ107" i="18"/>
  <c r="AF107" i="18"/>
  <c r="BD107" i="18"/>
  <c r="BX107" i="18"/>
  <c r="CR107" i="18"/>
  <c r="DP107" i="18"/>
  <c r="AE107" i="18"/>
  <c r="AY107" i="18"/>
  <c r="BW107" i="18"/>
  <c r="CQ107" i="18"/>
  <c r="DK107" i="18"/>
  <c r="AH107" i="18"/>
  <c r="BB107" i="18"/>
  <c r="BV107" i="18"/>
  <c r="CT107" i="18"/>
  <c r="DN107" i="18"/>
  <c r="AC107" i="18"/>
  <c r="BA107" i="18"/>
  <c r="BU107" i="18"/>
  <c r="CO107" i="18"/>
  <c r="DM107" i="18"/>
  <c r="AB107" i="18"/>
  <c r="AV107" i="18"/>
  <c r="BT107" i="18"/>
  <c r="CN107" i="18"/>
  <c r="DH107" i="18"/>
  <c r="AA107" i="18"/>
  <c r="AU107" i="18"/>
  <c r="BO107" i="18"/>
  <c r="CM107" i="18"/>
  <c r="DG107" i="18"/>
  <c r="AX107" i="18"/>
  <c r="CL107" i="18"/>
  <c r="Y107" i="18"/>
  <c r="BQ107" i="18"/>
  <c r="DE107" i="18"/>
  <c r="AR107" i="18"/>
  <c r="CJ107" i="18"/>
  <c r="S107" i="18"/>
  <c r="BK107" i="18"/>
  <c r="DC107" i="18"/>
  <c r="AP107" i="18"/>
  <c r="CH107" i="18"/>
  <c r="U107" i="18"/>
  <c r="BI107" i="18"/>
  <c r="DA107" i="18"/>
  <c r="AN107" i="18"/>
  <c r="CB107" i="18"/>
  <c r="DT107" i="18"/>
  <c r="BG107" i="18"/>
  <c r="CU107" i="18"/>
  <c r="Z107" i="18"/>
  <c r="DJ107" i="18"/>
  <c r="CK107" i="18"/>
  <c r="BL107" i="18"/>
  <c r="AQ107" i="18"/>
  <c r="P107" i="18"/>
  <c r="V107" i="18"/>
  <c r="DB107" i="18"/>
  <c r="CG107" i="18"/>
  <c r="BH107" i="18"/>
  <c r="AI107" i="18"/>
  <c r="DS107" i="18"/>
  <c r="BR107" i="18"/>
  <c r="AS107" i="18"/>
  <c r="X107" i="18"/>
  <c r="DD107" i="18"/>
  <c r="CE107" i="18"/>
  <c r="BN107" i="18"/>
  <c r="CA107" i="18"/>
  <c r="CZ107" i="18"/>
  <c r="DU107" i="18"/>
  <c r="AO107" i="18"/>
  <c r="AD82" i="18"/>
  <c r="DM82" i="18"/>
  <c r="DU82" i="18"/>
  <c r="DP82" i="18"/>
  <c r="DN82" i="18"/>
  <c r="DS82" i="18"/>
  <c r="DG82" i="18"/>
  <c r="DQ82" i="18"/>
  <c r="DR82" i="18"/>
  <c r="DL82" i="18"/>
  <c r="CQ82" i="18"/>
  <c r="CA82" i="18"/>
  <c r="BK82" i="18"/>
  <c r="AU82" i="18"/>
  <c r="AE82" i="18"/>
  <c r="DT82" i="18"/>
  <c r="AB87" i="18"/>
  <c r="DO82" i="18"/>
  <c r="CM82" i="18"/>
  <c r="BS82" i="18"/>
  <c r="AY82" i="18"/>
  <c r="CV82" i="18"/>
  <c r="CF82" i="18"/>
  <c r="BP82" i="18"/>
  <c r="AZ82" i="18"/>
  <c r="AJ82" i="18"/>
  <c r="DI82" i="18"/>
  <c r="CS82" i="18"/>
  <c r="CC82" i="18"/>
  <c r="BM82" i="18"/>
  <c r="AW82" i="18"/>
  <c r="AG82" i="18"/>
  <c r="DF82" i="18"/>
  <c r="CP82" i="18"/>
  <c r="BZ82" i="18"/>
  <c r="BJ82" i="18"/>
  <c r="AT82" i="18"/>
  <c r="BW82" i="18"/>
  <c r="BC82" i="18"/>
  <c r="CZ82" i="18"/>
  <c r="CJ82" i="18"/>
  <c r="BD82" i="18"/>
  <c r="CW82" i="18"/>
  <c r="BQ82" i="18"/>
  <c r="AK82" i="18"/>
  <c r="AC82" i="18"/>
  <c r="CD82" i="18"/>
  <c r="AX82" i="18"/>
  <c r="DC82" i="18"/>
  <c r="AQ82" i="18"/>
  <c r="CR82" i="18"/>
  <c r="BL82" i="18"/>
  <c r="AF82" i="18"/>
  <c r="CO82" i="18"/>
  <c r="BI82" i="18"/>
  <c r="CL82" i="18"/>
  <c r="BF82" i="18"/>
  <c r="DK82" i="18"/>
  <c r="CU82" i="18"/>
  <c r="AI82" i="18"/>
  <c r="BT82" i="18"/>
  <c r="AN82" i="18"/>
  <c r="CG82" i="18"/>
  <c r="BA82" i="18"/>
  <c r="CT82" i="18"/>
  <c r="BN82" i="18"/>
  <c r="AH82" i="18"/>
  <c r="CI82" i="18"/>
  <c r="DJ82" i="18"/>
  <c r="CY82" i="18"/>
  <c r="CE82" i="18"/>
  <c r="BG82" i="18"/>
  <c r="AM82" i="18"/>
  <c r="DD82" i="18"/>
  <c r="CN82" i="18"/>
  <c r="BX82" i="18"/>
  <c r="BH82" i="18"/>
  <c r="AR82" i="18"/>
  <c r="DA82" i="18"/>
  <c r="CK82" i="18"/>
  <c r="BU82" i="18"/>
  <c r="BE82" i="18"/>
  <c r="AO82" i="18"/>
  <c r="CX82" i="18"/>
  <c r="CH82" i="18"/>
  <c r="BR82" i="18"/>
  <c r="BB82" i="18"/>
  <c r="AL82" i="18"/>
  <c r="BO82" i="18"/>
  <c r="DH82" i="18"/>
  <c r="CB82" i="18"/>
  <c r="AV82" i="18"/>
  <c r="DE82" i="18"/>
  <c r="BY82" i="18"/>
  <c r="AS82" i="18"/>
  <c r="DB82" i="18"/>
  <c r="BV82" i="18"/>
  <c r="AP82" i="18"/>
  <c r="G93" i="18"/>
  <c r="DJ93" i="18"/>
  <c r="H93" i="18"/>
  <c r="K93" i="18"/>
  <c r="F93" i="18"/>
  <c r="DR93" i="18"/>
  <c r="O93" i="18"/>
  <c r="DK93" i="18"/>
  <c r="L93" i="18"/>
  <c r="DS93" i="18"/>
  <c r="DN93" i="18"/>
  <c r="DP93" i="18"/>
  <c r="DU93" i="18"/>
  <c r="DT93" i="18"/>
  <c r="DO93" i="18"/>
  <c r="DM93" i="18"/>
  <c r="P93" i="18"/>
  <c r="DL93" i="18"/>
  <c r="I93" i="18"/>
  <c r="N93" i="18"/>
  <c r="M93" i="18"/>
  <c r="DQ93" i="18"/>
  <c r="J93" i="18"/>
  <c r="U108" i="18"/>
  <c r="AK108" i="18"/>
  <c r="BA108" i="18"/>
  <c r="BQ108" i="18"/>
  <c r="CG108" i="18"/>
  <c r="CW108" i="18"/>
  <c r="DM108" i="18"/>
  <c r="X108" i="18"/>
  <c r="AN108" i="18"/>
  <c r="BD108" i="18"/>
  <c r="BT108" i="18"/>
  <c r="CJ108" i="18"/>
  <c r="CZ108" i="18"/>
  <c r="DP108" i="18"/>
  <c r="AA108" i="18"/>
  <c r="AQ108" i="18"/>
  <c r="BG108" i="18"/>
  <c r="BW108" i="18"/>
  <c r="CM108" i="18"/>
  <c r="DC108" i="18"/>
  <c r="DS108" i="18"/>
  <c r="AD108" i="18"/>
  <c r="AT108" i="18"/>
  <c r="BJ108" i="18"/>
  <c r="BZ108" i="18"/>
  <c r="CP108" i="18"/>
  <c r="DF108" i="18"/>
  <c r="Y108" i="18"/>
  <c r="AS108" i="18"/>
  <c r="BM108" i="18"/>
  <c r="CK108" i="18"/>
  <c r="DE108" i="18"/>
  <c r="T108" i="18"/>
  <c r="AR108" i="18"/>
  <c r="BL108" i="18"/>
  <c r="CF108" i="18"/>
  <c r="DD108" i="18"/>
  <c r="S108" i="18"/>
  <c r="AM108" i="18"/>
  <c r="BK108" i="18"/>
  <c r="CE108" i="18"/>
  <c r="CY108" i="18"/>
  <c r="R108" i="18"/>
  <c r="AL108" i="18"/>
  <c r="BF108" i="18"/>
  <c r="CD108" i="18"/>
  <c r="CX108" i="18"/>
  <c r="DR108" i="18"/>
  <c r="Q108" i="18"/>
  <c r="AO108" i="18"/>
  <c r="BI108" i="18"/>
  <c r="CC108" i="18"/>
  <c r="DA108" i="18"/>
  <c r="DU108" i="18"/>
  <c r="AJ108" i="18"/>
  <c r="BH108" i="18"/>
  <c r="CB108" i="18"/>
  <c r="CV108" i="18"/>
  <c r="DT108" i="18"/>
  <c r="AI108" i="18"/>
  <c r="BC108" i="18"/>
  <c r="CA108" i="18"/>
  <c r="CU108" i="18"/>
  <c r="DO108" i="18"/>
  <c r="AH108" i="18"/>
  <c r="BB108" i="18"/>
  <c r="BV108" i="18"/>
  <c r="CT108" i="18"/>
  <c r="DN108" i="18"/>
  <c r="AG108" i="18"/>
  <c r="BY108" i="18"/>
  <c r="DQ108" i="18"/>
  <c r="AZ108" i="18"/>
  <c r="CR108" i="18"/>
  <c r="AE108" i="18"/>
  <c r="BS108" i="18"/>
  <c r="DK108" i="18"/>
  <c r="AX108" i="18"/>
  <c r="CL108" i="18"/>
  <c r="AC108" i="18"/>
  <c r="BU108" i="18"/>
  <c r="DI108" i="18"/>
  <c r="AV108" i="18"/>
  <c r="CN108" i="18"/>
  <c r="W108" i="18"/>
  <c r="BO108" i="18"/>
  <c r="DG108" i="18"/>
  <c r="AP108" i="18"/>
  <c r="CH108" i="18"/>
  <c r="CS108" i="18"/>
  <c r="BX108" i="18"/>
  <c r="AY108" i="18"/>
  <c r="Z108" i="18"/>
  <c r="DJ108" i="18"/>
  <c r="CO108" i="18"/>
  <c r="BP108" i="18"/>
  <c r="AU108" i="18"/>
  <c r="V108" i="18"/>
  <c r="DB108" i="18"/>
  <c r="BE108" i="18"/>
  <c r="AF108" i="18"/>
  <c r="DL108" i="18"/>
  <c r="CQ108" i="18"/>
  <c r="BR108" i="18"/>
  <c r="P108" i="18"/>
  <c r="CI108" i="18"/>
  <c r="DH108" i="18"/>
  <c r="AB108" i="18"/>
  <c r="AW108" i="18"/>
  <c r="BN108" i="18"/>
  <c r="H92" i="18"/>
  <c r="H123" i="18" s="1"/>
  <c r="H125" i="18" s="1"/>
  <c r="I92" i="18"/>
  <c r="I123" i="18" s="1"/>
  <c r="I125" i="18" s="1"/>
  <c r="N92" i="18"/>
  <c r="N123" i="18" s="1"/>
  <c r="N125" i="18" s="1"/>
  <c r="M92" i="18"/>
  <c r="DR92" i="18"/>
  <c r="DJ92" i="18"/>
  <c r="F92" i="18"/>
  <c r="DT92" i="18"/>
  <c r="G92" i="18"/>
  <c r="L92" i="18"/>
  <c r="DO92" i="18"/>
  <c r="K92" i="18"/>
  <c r="Q92" i="18"/>
  <c r="O92" i="18"/>
  <c r="DU92" i="18"/>
  <c r="DN92" i="18"/>
  <c r="DL92" i="18"/>
  <c r="DK92" i="18"/>
  <c r="DM92" i="18"/>
  <c r="P92" i="18"/>
  <c r="DP92" i="18"/>
  <c r="J92" i="18"/>
  <c r="DS92" i="18"/>
  <c r="DQ92" i="18"/>
  <c r="X118" i="18"/>
  <c r="CF118" i="18"/>
  <c r="BL118" i="18"/>
  <c r="BP118" i="18"/>
  <c r="AV118" i="18"/>
  <c r="DL118" i="18"/>
  <c r="CR118" i="18"/>
  <c r="CV118" i="18"/>
  <c r="CB118" i="18"/>
  <c r="T118" i="18"/>
  <c r="AZ118" i="18"/>
  <c r="CZ118" i="18"/>
  <c r="AN118" i="18"/>
  <c r="AE118" i="18"/>
  <c r="AU118" i="18"/>
  <c r="BK118" i="18"/>
  <c r="CA118" i="18"/>
  <c r="CQ118" i="18"/>
  <c r="DG118" i="18"/>
  <c r="R118" i="18"/>
  <c r="AH118" i="18"/>
  <c r="AX118" i="18"/>
  <c r="BN118" i="18"/>
  <c r="CD118" i="18"/>
  <c r="CT118" i="18"/>
  <c r="DJ118" i="18"/>
  <c r="Q118" i="18"/>
  <c r="AW118" i="18"/>
  <c r="CC118" i="18"/>
  <c r="DI118" i="18"/>
  <c r="AK118" i="18"/>
  <c r="BQ118" i="18"/>
  <c r="CW118" i="18"/>
  <c r="DD118" i="18"/>
  <c r="AR118" i="18"/>
  <c r="AF118" i="18"/>
  <c r="DP118" i="18"/>
  <c r="BD118" i="18"/>
  <c r="AA118" i="18"/>
  <c r="AQ118" i="18"/>
  <c r="BG118" i="18"/>
  <c r="BW118" i="18"/>
  <c r="CM118" i="18"/>
  <c r="DC118" i="18"/>
  <c r="DS118" i="18"/>
  <c r="AD118" i="18"/>
  <c r="AT118" i="18"/>
  <c r="BJ118" i="18"/>
  <c r="BZ118" i="18"/>
  <c r="CP118" i="18"/>
  <c r="DF118" i="18"/>
  <c r="P118" i="18"/>
  <c r="AO118" i="18"/>
  <c r="BU118" i="18"/>
  <c r="DA118" i="18"/>
  <c r="AC118" i="18"/>
  <c r="BI118" i="18"/>
  <c r="CO118" i="18"/>
  <c r="DU118" i="18"/>
  <c r="DH118" i="18"/>
  <c r="BT118" i="18"/>
  <c r="AM118" i="18"/>
  <c r="BS118" i="18"/>
  <c r="CY118" i="18"/>
  <c r="Z118" i="18"/>
  <c r="BF118" i="18"/>
  <c r="CL118" i="18"/>
  <c r="DR118" i="18"/>
  <c r="BM118" i="18"/>
  <c r="U118" i="18"/>
  <c r="CG118" i="18"/>
  <c r="BH118" i="18"/>
  <c r="CJ118" i="18"/>
  <c r="AI118" i="18"/>
  <c r="BO118" i="18"/>
  <c r="CU118" i="18"/>
  <c r="V118" i="18"/>
  <c r="BB118" i="18"/>
  <c r="CH118" i="18"/>
  <c r="DN118" i="18"/>
  <c r="BE118" i="18"/>
  <c r="DQ118" i="18"/>
  <c r="BY118" i="18"/>
  <c r="W118" i="18"/>
  <c r="BC118" i="18"/>
  <c r="CI118" i="18"/>
  <c r="DO118" i="18"/>
  <c r="AP118" i="18"/>
  <c r="BV118" i="18"/>
  <c r="DB118" i="18"/>
  <c r="AG118" i="18"/>
  <c r="CS118" i="18"/>
  <c r="BA118" i="18"/>
  <c r="DM118" i="18"/>
  <c r="S118" i="18"/>
  <c r="AL118" i="18"/>
  <c r="CK118" i="18"/>
  <c r="CN118" i="18"/>
  <c r="AY118" i="18"/>
  <c r="AS118" i="18"/>
  <c r="AJ118" i="18"/>
  <c r="DK118" i="18"/>
  <c r="Y118" i="18"/>
  <c r="DT118" i="18"/>
  <c r="CE118" i="18"/>
  <c r="CX118" i="18"/>
  <c r="DE118" i="18"/>
  <c r="AB118" i="18"/>
  <c r="BR118" i="18"/>
  <c r="BX118" i="18"/>
  <c r="S102" i="18"/>
  <c r="AI102" i="18"/>
  <c r="AY102" i="18"/>
  <c r="BO102" i="18"/>
  <c r="CE102" i="18"/>
  <c r="CU102" i="18"/>
  <c r="DK102" i="18"/>
  <c r="V102" i="18"/>
  <c r="AL102" i="18"/>
  <c r="BB102" i="18"/>
  <c r="BR102" i="18"/>
  <c r="CH102" i="18"/>
  <c r="CX102" i="18"/>
  <c r="DN102" i="18"/>
  <c r="Y102" i="18"/>
  <c r="AO102" i="18"/>
  <c r="BE102" i="18"/>
  <c r="BU102" i="18"/>
  <c r="CK102" i="18"/>
  <c r="DA102" i="18"/>
  <c r="DQ102" i="18"/>
  <c r="AB102" i="18"/>
  <c r="AR102" i="18"/>
  <c r="BH102" i="18"/>
  <c r="BX102" i="18"/>
  <c r="CN102" i="18"/>
  <c r="DD102" i="18"/>
  <c r="DT102" i="18"/>
  <c r="AA102" i="18"/>
  <c r="AU102" i="18"/>
  <c r="BS102" i="18"/>
  <c r="CM102" i="18"/>
  <c r="DG102" i="18"/>
  <c r="Z102" i="18"/>
  <c r="AT102" i="18"/>
  <c r="BN102" i="18"/>
  <c r="CL102" i="18"/>
  <c r="DF102" i="18"/>
  <c r="U102" i="18"/>
  <c r="AS102" i="18"/>
  <c r="BM102" i="18"/>
  <c r="CG102" i="18"/>
  <c r="DE102" i="18"/>
  <c r="T102" i="18"/>
  <c r="AN102" i="18"/>
  <c r="BL102" i="18"/>
  <c r="CF102" i="18"/>
  <c r="CZ102" i="18"/>
  <c r="P102" i="18"/>
  <c r="W102" i="18"/>
  <c r="AQ102" i="18"/>
  <c r="BK102" i="18"/>
  <c r="CI102" i="18"/>
  <c r="DC102" i="18"/>
  <c r="R102" i="18"/>
  <c r="AP102" i="18"/>
  <c r="BJ102" i="18"/>
  <c r="CD102" i="18"/>
  <c r="DB102" i="18"/>
  <c r="Q102" i="18"/>
  <c r="AK102" i="18"/>
  <c r="BI102" i="18"/>
  <c r="CC102" i="18"/>
  <c r="CW102" i="18"/>
  <c r="DU102" i="18"/>
  <c r="AJ102" i="18"/>
  <c r="BD102" i="18"/>
  <c r="CB102" i="18"/>
  <c r="AM102" i="18"/>
  <c r="BG102" i="18"/>
  <c r="CA102" i="18"/>
  <c r="CY102" i="18"/>
  <c r="DS102" i="18"/>
  <c r="AH102" i="18"/>
  <c r="BF102" i="18"/>
  <c r="BZ102" i="18"/>
  <c r="CT102" i="18"/>
  <c r="DR102" i="18"/>
  <c r="AG102" i="18"/>
  <c r="BA102" i="18"/>
  <c r="BY102" i="18"/>
  <c r="CS102" i="18"/>
  <c r="DM102" i="18"/>
  <c r="AF102" i="18"/>
  <c r="AZ102" i="18"/>
  <c r="BT102" i="18"/>
  <c r="CR102" i="18"/>
  <c r="DL102" i="18"/>
  <c r="AE102" i="18"/>
  <c r="DO102" i="18"/>
  <c r="CP102" i="18"/>
  <c r="BQ102" i="18"/>
  <c r="AV102" i="18"/>
  <c r="DH102" i="18"/>
  <c r="AD102" i="18"/>
  <c r="CO102" i="18"/>
  <c r="DP102" i="18"/>
  <c r="CQ102" i="18"/>
  <c r="BV102" i="18"/>
  <c r="AW102" i="18"/>
  <c r="X102" i="18"/>
  <c r="CV102" i="18"/>
  <c r="BW102" i="18"/>
  <c r="AX102" i="18"/>
  <c r="AC102" i="18"/>
  <c r="DI102" i="18"/>
  <c r="CJ102" i="18"/>
  <c r="BC102" i="18"/>
  <c r="DJ102" i="18"/>
  <c r="BP102" i="18"/>
  <c r="DO119" i="18"/>
  <c r="DN119" i="18"/>
  <c r="DU119" i="18"/>
  <c r="DS119" i="18"/>
  <c r="DL119" i="18"/>
  <c r="DK119" i="18"/>
  <c r="DJ119" i="18"/>
  <c r="DQ119" i="18"/>
  <c r="DT119" i="18"/>
  <c r="DR119" i="18"/>
  <c r="P119" i="18"/>
  <c r="DM119" i="18"/>
  <c r="DP119" i="18"/>
  <c r="AM111" i="18"/>
  <c r="BC111" i="18"/>
  <c r="AE111" i="18"/>
  <c r="BS111" i="18"/>
  <c r="V111" i="18"/>
  <c r="AL111" i="18"/>
  <c r="BB111" i="18"/>
  <c r="BR111" i="18"/>
  <c r="CH111" i="18"/>
  <c r="CX111" i="18"/>
  <c r="DN111" i="18"/>
  <c r="Y111" i="18"/>
  <c r="AO111" i="18"/>
  <c r="BE111" i="18"/>
  <c r="BU111" i="18"/>
  <c r="CK111" i="18"/>
  <c r="DA111" i="18"/>
  <c r="DQ111" i="18"/>
  <c r="AJ111" i="18"/>
  <c r="BP111" i="18"/>
  <c r="CV111" i="18"/>
  <c r="S111" i="18"/>
  <c r="AY111" i="18"/>
  <c r="CE111" i="18"/>
  <c r="DK111" i="18"/>
  <c r="AN111" i="18"/>
  <c r="BT111" i="18"/>
  <c r="CZ111" i="18"/>
  <c r="AU111" i="18"/>
  <c r="CQ111" i="18"/>
  <c r="CY111" i="18"/>
  <c r="R111" i="18"/>
  <c r="AH111" i="18"/>
  <c r="AX111" i="18"/>
  <c r="BN111" i="18"/>
  <c r="CD111" i="18"/>
  <c r="CT111" i="18"/>
  <c r="DJ111" i="18"/>
  <c r="U111" i="18"/>
  <c r="AK111" i="18"/>
  <c r="BA111" i="18"/>
  <c r="BQ111" i="18"/>
  <c r="CG111" i="18"/>
  <c r="CW111" i="18"/>
  <c r="DM111" i="18"/>
  <c r="AB111" i="18"/>
  <c r="BH111" i="18"/>
  <c r="CN111" i="18"/>
  <c r="DT111" i="18"/>
  <c r="AQ111" i="18"/>
  <c r="BW111" i="18"/>
  <c r="DC111" i="18"/>
  <c r="AF111" i="18"/>
  <c r="BL111" i="18"/>
  <c r="CR111" i="18"/>
  <c r="P111" i="18"/>
  <c r="AD111" i="18"/>
  <c r="BJ111" i="18"/>
  <c r="CP111" i="18"/>
  <c r="Q111" i="18"/>
  <c r="AW111" i="18"/>
  <c r="CC111" i="18"/>
  <c r="DI111" i="18"/>
  <c r="AZ111" i="18"/>
  <c r="DL111" i="18"/>
  <c r="BO111" i="18"/>
  <c r="X111" i="18"/>
  <c r="CJ111" i="18"/>
  <c r="DG111" i="18"/>
  <c r="Z111" i="18"/>
  <c r="BF111" i="18"/>
  <c r="CL111" i="18"/>
  <c r="DR111" i="18"/>
  <c r="AS111" i="18"/>
  <c r="BY111" i="18"/>
  <c r="DE111" i="18"/>
  <c r="AR111" i="18"/>
  <c r="DD111" i="18"/>
  <c r="BG111" i="18"/>
  <c r="DS111" i="18"/>
  <c r="CB111" i="18"/>
  <c r="AT111" i="18"/>
  <c r="BZ111" i="18"/>
  <c r="DF111" i="18"/>
  <c r="AG111" i="18"/>
  <c r="BM111" i="18"/>
  <c r="CS111" i="18"/>
  <c r="T111" i="18"/>
  <c r="CF111" i="18"/>
  <c r="AI111" i="18"/>
  <c r="CU111" i="18"/>
  <c r="BD111" i="18"/>
  <c r="DP111" i="18"/>
  <c r="DO111" i="18"/>
  <c r="AP111" i="18"/>
  <c r="BI111" i="18"/>
  <c r="AA111" i="18"/>
  <c r="BV111" i="18"/>
  <c r="CM111" i="18"/>
  <c r="W111" i="18"/>
  <c r="AC111" i="18"/>
  <c r="BX111" i="18"/>
  <c r="DH111" i="18"/>
  <c r="DB111" i="18"/>
  <c r="DU111" i="18"/>
  <c r="AV111" i="18"/>
  <c r="BK111" i="18"/>
  <c r="CA111" i="18"/>
  <c r="CI111" i="18"/>
  <c r="CO111" i="18"/>
  <c r="V95" i="18"/>
  <c r="AD95" i="18"/>
  <c r="CV95" i="18"/>
  <c r="BE95" i="18"/>
  <c r="DM95" i="18"/>
  <c r="BV95" i="18"/>
  <c r="AF95" i="18"/>
  <c r="BZ95" i="18"/>
  <c r="R95" i="18"/>
  <c r="BL95" i="18"/>
  <c r="DN95" i="18"/>
  <c r="CS95" i="18"/>
  <c r="BX95" i="18"/>
  <c r="BB95" i="18"/>
  <c r="AG95" i="18"/>
  <c r="AA95" i="18"/>
  <c r="AQ95" i="18"/>
  <c r="BG95" i="18"/>
  <c r="BW95" i="18"/>
  <c r="CM95" i="18"/>
  <c r="DC95" i="18"/>
  <c r="DS95" i="18"/>
  <c r="CP95" i="18"/>
  <c r="AZ95" i="18"/>
  <c r="DR95" i="18"/>
  <c r="CB95" i="18"/>
  <c r="AK95" i="18"/>
  <c r="DU95" i="18"/>
  <c r="CZ95" i="18"/>
  <c r="CD95" i="18"/>
  <c r="BI95" i="18"/>
  <c r="AN95" i="18"/>
  <c r="CK95" i="18"/>
  <c r="AJ95" i="18"/>
  <c r="CG95" i="18"/>
  <c r="T95" i="18"/>
  <c r="DT95" i="18"/>
  <c r="CX95" i="18"/>
  <c r="CC95" i="18"/>
  <c r="BH95" i="18"/>
  <c r="AL95" i="18"/>
  <c r="W95" i="18"/>
  <c r="AM95" i="18"/>
  <c r="BC95" i="18"/>
  <c r="BS95" i="18"/>
  <c r="CI95" i="18"/>
  <c r="CY95" i="18"/>
  <c r="DO95" i="18"/>
  <c r="AT95" i="18"/>
  <c r="CR95" i="18"/>
  <c r="CH95" i="18"/>
  <c r="AR95" i="18"/>
  <c r="AI95" i="18"/>
  <c r="BO95" i="18"/>
  <c r="CU95" i="18"/>
  <c r="U95" i="18"/>
  <c r="DL95" i="18"/>
  <c r="BJ95" i="18"/>
  <c r="DH95" i="18"/>
  <c r="BF95" i="18"/>
  <c r="DP95" i="18"/>
  <c r="CO95" i="18"/>
  <c r="BN95" i="18"/>
  <c r="AH95" i="18"/>
  <c r="BP95" i="18"/>
  <c r="DB95" i="18"/>
  <c r="CN95" i="18"/>
  <c r="AW95" i="18"/>
  <c r="AE95" i="18"/>
  <c r="BK95" i="18"/>
  <c r="CQ95" i="18"/>
  <c r="Q95" i="18"/>
  <c r="DF95" i="18"/>
  <c r="AP95" i="18"/>
  <c r="DD95" i="18"/>
  <c r="BM95" i="18"/>
  <c r="S95" i="18"/>
  <c r="AY95" i="18"/>
  <c r="CE95" i="18"/>
  <c r="DK95" i="18"/>
  <c r="CF95" i="18"/>
  <c r="Y95" i="18"/>
  <c r="CL95" i="18"/>
  <c r="Z95" i="18"/>
  <c r="BR95" i="18"/>
  <c r="DG95" i="18"/>
  <c r="AO95" i="18"/>
  <c r="CW95" i="18"/>
  <c r="DE95" i="18"/>
  <c r="BT95" i="18"/>
  <c r="AC95" i="18"/>
  <c r="AB95" i="18"/>
  <c r="P95" i="18"/>
  <c r="CT95" i="18"/>
  <c r="X95" i="18"/>
  <c r="DQ95" i="18"/>
  <c r="DI95" i="18"/>
  <c r="CA95" i="18"/>
  <c r="BU95" i="18"/>
  <c r="DJ95" i="18"/>
  <c r="BY95" i="18"/>
  <c r="AS95" i="18"/>
  <c r="BA95" i="18"/>
  <c r="AU95" i="18"/>
  <c r="DA95" i="18"/>
  <c r="AV95" i="18"/>
  <c r="CJ95" i="18"/>
  <c r="AX95" i="18"/>
  <c r="BQ95" i="18"/>
  <c r="BD95" i="18"/>
  <c r="T101" i="18"/>
  <c r="AJ101" i="18"/>
  <c r="AZ101" i="18"/>
  <c r="BP101" i="18"/>
  <c r="CF101" i="18"/>
  <c r="CV101" i="18"/>
  <c r="AF101" i="18"/>
  <c r="AV101" i="18"/>
  <c r="BL101" i="18"/>
  <c r="CB101" i="18"/>
  <c r="CR101" i="18"/>
  <c r="DH101" i="18"/>
  <c r="S101" i="18"/>
  <c r="AI101" i="18"/>
  <c r="AY101" i="18"/>
  <c r="BO101" i="18"/>
  <c r="CE101" i="18"/>
  <c r="CU101" i="18"/>
  <c r="DK101" i="18"/>
  <c r="V101" i="18"/>
  <c r="AL101" i="18"/>
  <c r="BB101" i="18"/>
  <c r="BR101" i="18"/>
  <c r="CH101" i="18"/>
  <c r="CX101" i="18"/>
  <c r="DN101" i="18"/>
  <c r="Y101" i="18"/>
  <c r="AO101" i="18"/>
  <c r="BE101" i="18"/>
  <c r="BU101" i="18"/>
  <c r="CK101" i="18"/>
  <c r="DA101" i="18"/>
  <c r="DQ101" i="18"/>
  <c r="AB101" i="18"/>
  <c r="BH101" i="18"/>
  <c r="CN101" i="18"/>
  <c r="DP101" i="18"/>
  <c r="AE101" i="18"/>
  <c r="BC101" i="18"/>
  <c r="BW101" i="18"/>
  <c r="CQ101" i="18"/>
  <c r="DO101" i="18"/>
  <c r="AD101" i="18"/>
  <c r="AX101" i="18"/>
  <c r="BV101" i="18"/>
  <c r="CP101" i="18"/>
  <c r="DJ101" i="18"/>
  <c r="AC101" i="18"/>
  <c r="AW101" i="18"/>
  <c r="BQ101" i="18"/>
  <c r="CO101" i="18"/>
  <c r="DI101" i="18"/>
  <c r="X101" i="18"/>
  <c r="BD101" i="18"/>
  <c r="CJ101" i="18"/>
  <c r="DL101" i="18"/>
  <c r="AA101" i="18"/>
  <c r="AU101" i="18"/>
  <c r="BS101" i="18"/>
  <c r="CM101" i="18"/>
  <c r="DG101" i="18"/>
  <c r="Z101" i="18"/>
  <c r="AT101" i="18"/>
  <c r="BN101" i="18"/>
  <c r="CL101" i="18"/>
  <c r="DF101" i="18"/>
  <c r="U101" i="18"/>
  <c r="AS101" i="18"/>
  <c r="BM101" i="18"/>
  <c r="CG101" i="18"/>
  <c r="DE101" i="18"/>
  <c r="P101" i="18"/>
  <c r="AR101" i="18"/>
  <c r="DD101" i="18"/>
  <c r="AQ101" i="18"/>
  <c r="CI101" i="18"/>
  <c r="R101" i="18"/>
  <c r="BJ101" i="18"/>
  <c r="DB101" i="18"/>
  <c r="AK101" i="18"/>
  <c r="CC101" i="18"/>
  <c r="DU101" i="18"/>
  <c r="AN101" i="18"/>
  <c r="CZ101" i="18"/>
  <c r="AM101" i="18"/>
  <c r="CA101" i="18"/>
  <c r="DS101" i="18"/>
  <c r="BF101" i="18"/>
  <c r="CT101" i="18"/>
  <c r="AG101" i="18"/>
  <c r="BY101" i="18"/>
  <c r="DM101" i="18"/>
  <c r="BX101" i="18"/>
  <c r="W101" i="18"/>
  <c r="BK101" i="18"/>
  <c r="DC101" i="18"/>
  <c r="AP101" i="18"/>
  <c r="CD101" i="18"/>
  <c r="Q101" i="18"/>
  <c r="BI101" i="18"/>
  <c r="CW101" i="18"/>
  <c r="CY101" i="18"/>
  <c r="BA101" i="18"/>
  <c r="BG101" i="18"/>
  <c r="DR101" i="18"/>
  <c r="DT101" i="18"/>
  <c r="BZ101" i="18"/>
  <c r="BT101" i="18"/>
  <c r="AH101" i="18"/>
  <c r="CS101" i="18"/>
  <c r="Z112" i="18"/>
  <c r="BZ112" i="18"/>
  <c r="AP112" i="18"/>
  <c r="BJ112" i="18"/>
  <c r="CP112" i="18"/>
  <c r="DF112" i="18"/>
  <c r="P112" i="18"/>
  <c r="DJ112" i="18"/>
  <c r="CH112" i="18"/>
  <c r="U112" i="18"/>
  <c r="AK112" i="18"/>
  <c r="BA112" i="18"/>
  <c r="BQ112" i="18"/>
  <c r="CG112" i="18"/>
  <c r="CW112" i="18"/>
  <c r="DM112" i="18"/>
  <c r="X112" i="18"/>
  <c r="AN112" i="18"/>
  <c r="BD112" i="18"/>
  <c r="BT112" i="18"/>
  <c r="CJ112" i="18"/>
  <c r="CZ112" i="18"/>
  <c r="DP112" i="18"/>
  <c r="AM112" i="18"/>
  <c r="BS112" i="18"/>
  <c r="CY112" i="18"/>
  <c r="AD112" i="18"/>
  <c r="AA112" i="18"/>
  <c r="BG112" i="18"/>
  <c r="CM112" i="18"/>
  <c r="DS112" i="18"/>
  <c r="CT112" i="18"/>
  <c r="DR112" i="18"/>
  <c r="BF112" i="18"/>
  <c r="CX112" i="18"/>
  <c r="Q112" i="18"/>
  <c r="AG112" i="18"/>
  <c r="AW112" i="18"/>
  <c r="BM112" i="18"/>
  <c r="CC112" i="18"/>
  <c r="CS112" i="18"/>
  <c r="DI112" i="18"/>
  <c r="T112" i="18"/>
  <c r="AJ112" i="18"/>
  <c r="AZ112" i="18"/>
  <c r="BP112" i="18"/>
  <c r="CF112" i="18"/>
  <c r="CV112" i="18"/>
  <c r="DL112" i="18"/>
  <c r="AE112" i="18"/>
  <c r="BK112" i="18"/>
  <c r="CQ112" i="18"/>
  <c r="V112" i="18"/>
  <c r="S112" i="18"/>
  <c r="AY112" i="18"/>
  <c r="CE112" i="18"/>
  <c r="DK112" i="18"/>
  <c r="BB112" i="18"/>
  <c r="AS112" i="18"/>
  <c r="BY112" i="18"/>
  <c r="DE112" i="18"/>
  <c r="AF112" i="18"/>
  <c r="BL112" i="18"/>
  <c r="CR112" i="18"/>
  <c r="W112" i="18"/>
  <c r="CI112" i="18"/>
  <c r="AT112" i="18"/>
  <c r="BW112" i="18"/>
  <c r="R112" i="18"/>
  <c r="DB112" i="18"/>
  <c r="BR112" i="18"/>
  <c r="AO112" i="18"/>
  <c r="BU112" i="18"/>
  <c r="DA112" i="18"/>
  <c r="AB112" i="18"/>
  <c r="BH112" i="18"/>
  <c r="CN112" i="18"/>
  <c r="DT112" i="18"/>
  <c r="CA112" i="18"/>
  <c r="AL112" i="18"/>
  <c r="BO112" i="18"/>
  <c r="AX112" i="18"/>
  <c r="DN112" i="18"/>
  <c r="AC112" i="18"/>
  <c r="BI112" i="18"/>
  <c r="CO112" i="18"/>
  <c r="DU112" i="18"/>
  <c r="AV112" i="18"/>
  <c r="CB112" i="18"/>
  <c r="DH112" i="18"/>
  <c r="BC112" i="18"/>
  <c r="DO112" i="18"/>
  <c r="AQ112" i="18"/>
  <c r="DC112" i="18"/>
  <c r="DQ112" i="18"/>
  <c r="AU112" i="18"/>
  <c r="BV112" i="18"/>
  <c r="Y112" i="18"/>
  <c r="DG112" i="18"/>
  <c r="CK112" i="18"/>
  <c r="DD112" i="18"/>
  <c r="CU112" i="18"/>
  <c r="CL112" i="18"/>
  <c r="BE112" i="18"/>
  <c r="BX112" i="18"/>
  <c r="AI112" i="18"/>
  <c r="CD112" i="18"/>
  <c r="AR112" i="18"/>
  <c r="BN112" i="18"/>
  <c r="AH112" i="18"/>
  <c r="T96" i="18"/>
  <c r="CJ96" i="18"/>
  <c r="BL96" i="18"/>
  <c r="BT96" i="18"/>
  <c r="CB96" i="18"/>
  <c r="DP96" i="18"/>
  <c r="CR96" i="18"/>
  <c r="CZ96" i="18"/>
  <c r="DH96" i="18"/>
  <c r="AF96" i="18"/>
  <c r="AN96" i="18"/>
  <c r="BN96" i="18"/>
  <c r="DB96" i="18"/>
  <c r="R96" i="18"/>
  <c r="DD96" i="18"/>
  <c r="BX96" i="18"/>
  <c r="AR96" i="18"/>
  <c r="Y96" i="18"/>
  <c r="AO96" i="18"/>
  <c r="BE96" i="18"/>
  <c r="BU96" i="18"/>
  <c r="CK96" i="18"/>
  <c r="DA96" i="18"/>
  <c r="DQ96" i="18"/>
  <c r="AA96" i="18"/>
  <c r="AQ96" i="18"/>
  <c r="BG96" i="18"/>
  <c r="BW96" i="18"/>
  <c r="CM96" i="18"/>
  <c r="DC96" i="18"/>
  <c r="DS96" i="18"/>
  <c r="CD96" i="18"/>
  <c r="Z96" i="18"/>
  <c r="P96" i="18"/>
  <c r="CP96" i="18"/>
  <c r="BJ96" i="18"/>
  <c r="AD96" i="18"/>
  <c r="AH96" i="18"/>
  <c r="DL96" i="18"/>
  <c r="CF96" i="18"/>
  <c r="AZ96" i="18"/>
  <c r="U96" i="18"/>
  <c r="AK96" i="18"/>
  <c r="BA96" i="18"/>
  <c r="BQ96" i="18"/>
  <c r="CG96" i="18"/>
  <c r="CW96" i="18"/>
  <c r="DM96" i="18"/>
  <c r="W96" i="18"/>
  <c r="AM96" i="18"/>
  <c r="BC96" i="18"/>
  <c r="BS96" i="18"/>
  <c r="CI96" i="18"/>
  <c r="CY96" i="18"/>
  <c r="DO96" i="18"/>
  <c r="AX96" i="18"/>
  <c r="CN96" i="18"/>
  <c r="AB96" i="18"/>
  <c r="AG96" i="18"/>
  <c r="BM96" i="18"/>
  <c r="CS96" i="18"/>
  <c r="S96" i="18"/>
  <c r="AY96" i="18"/>
  <c r="CE96" i="18"/>
  <c r="DK96" i="18"/>
  <c r="CT96" i="18"/>
  <c r="DF96" i="18"/>
  <c r="BR96" i="18"/>
  <c r="V96" i="18"/>
  <c r="DJ96" i="18"/>
  <c r="CL96" i="18"/>
  <c r="CV96" i="18"/>
  <c r="AJ96" i="18"/>
  <c r="AC96" i="18"/>
  <c r="BI96" i="18"/>
  <c r="CO96" i="18"/>
  <c r="DU96" i="18"/>
  <c r="AU96" i="18"/>
  <c r="CA96" i="18"/>
  <c r="DG96" i="18"/>
  <c r="X96" i="18"/>
  <c r="DT96" i="18"/>
  <c r="BH96" i="18"/>
  <c r="Q96" i="18"/>
  <c r="AW96" i="18"/>
  <c r="CC96" i="18"/>
  <c r="DI96" i="18"/>
  <c r="AI96" i="18"/>
  <c r="BO96" i="18"/>
  <c r="CU96" i="18"/>
  <c r="BF96" i="18"/>
  <c r="AV96" i="18"/>
  <c r="DE96" i="18"/>
  <c r="BV96" i="18"/>
  <c r="CH96" i="18"/>
  <c r="AL96" i="18"/>
  <c r="BD96" i="18"/>
  <c r="BY96" i="18"/>
  <c r="CQ96" i="18"/>
  <c r="DR96" i="18"/>
  <c r="CX96" i="18"/>
  <c r="AT96" i="18"/>
  <c r="AP96" i="18"/>
  <c r="BP96" i="18"/>
  <c r="AS96" i="18"/>
  <c r="BK96" i="18"/>
  <c r="DN96" i="18"/>
  <c r="BB96" i="18"/>
  <c r="AE96" i="18"/>
  <c r="BZ96" i="18"/>
  <c r="AD97" i="18"/>
  <c r="CR97" i="18"/>
  <c r="AF97" i="18"/>
  <c r="CH97" i="18"/>
  <c r="V97" i="18"/>
  <c r="CJ97" i="18"/>
  <c r="X97" i="18"/>
  <c r="CP97" i="18"/>
  <c r="DH97" i="18"/>
  <c r="AV97" i="18"/>
  <c r="CX97" i="18"/>
  <c r="AL97" i="18"/>
  <c r="CZ97" i="18"/>
  <c r="AN97" i="18"/>
  <c r="DF97" i="18"/>
  <c r="AT97" i="18"/>
  <c r="BL97" i="18"/>
  <c r="DN97" i="18"/>
  <c r="DP97" i="18"/>
  <c r="BJ97" i="18"/>
  <c r="CB97" i="18"/>
  <c r="BZ97" i="18"/>
  <c r="W97" i="18"/>
  <c r="AM97" i="18"/>
  <c r="BC97" i="18"/>
  <c r="BS97" i="18"/>
  <c r="CI97" i="18"/>
  <c r="CY97" i="18"/>
  <c r="DO97" i="18"/>
  <c r="Y97" i="18"/>
  <c r="AO97" i="18"/>
  <c r="BE97" i="18"/>
  <c r="BU97" i="18"/>
  <c r="CK97" i="18"/>
  <c r="DA97" i="18"/>
  <c r="DQ97" i="18"/>
  <c r="BB97" i="18"/>
  <c r="S97" i="18"/>
  <c r="AQ97" i="18"/>
  <c r="BK97" i="18"/>
  <c r="CE97" i="18"/>
  <c r="DC97" i="18"/>
  <c r="Q97" i="18"/>
  <c r="AK97" i="18"/>
  <c r="BI97" i="18"/>
  <c r="CC97" i="18"/>
  <c r="CW97" i="18"/>
  <c r="DU97" i="18"/>
  <c r="DJ97" i="18"/>
  <c r="CD97" i="18"/>
  <c r="AX97" i="18"/>
  <c r="R97" i="18"/>
  <c r="DD97" i="18"/>
  <c r="BX97" i="18"/>
  <c r="AR97" i="18"/>
  <c r="BR97" i="18"/>
  <c r="AI97" i="18"/>
  <c r="BG97" i="18"/>
  <c r="CA97" i="18"/>
  <c r="CU97" i="18"/>
  <c r="DS97" i="18"/>
  <c r="AG97" i="18"/>
  <c r="BA97" i="18"/>
  <c r="BY97" i="18"/>
  <c r="CS97" i="18"/>
  <c r="DM97" i="18"/>
  <c r="DR97" i="18"/>
  <c r="CL97" i="18"/>
  <c r="BF97" i="18"/>
  <c r="Z97" i="18"/>
  <c r="BD97" i="18"/>
  <c r="AY97" i="18"/>
  <c r="CQ97" i="18"/>
  <c r="AC97" i="18"/>
  <c r="BQ97" i="18"/>
  <c r="DI97" i="18"/>
  <c r="BN97" i="18"/>
  <c r="CN97" i="18"/>
  <c r="AZ97" i="18"/>
  <c r="BT97" i="18"/>
  <c r="AU97" i="18"/>
  <c r="CM97" i="18"/>
  <c r="U97" i="18"/>
  <c r="BM97" i="18"/>
  <c r="DE97" i="18"/>
  <c r="BV97" i="18"/>
  <c r="P97" i="18"/>
  <c r="AE97" i="18"/>
  <c r="BW97" i="18"/>
  <c r="DK97" i="18"/>
  <c r="AW97" i="18"/>
  <c r="CO97" i="18"/>
  <c r="CT97" i="18"/>
  <c r="AH97" i="18"/>
  <c r="DG97" i="18"/>
  <c r="AP97" i="18"/>
  <c r="CF97" i="18"/>
  <c r="AB97" i="18"/>
  <c r="AS97" i="18"/>
  <c r="DT97" i="18"/>
  <c r="T97" i="18"/>
  <c r="BO97" i="18"/>
  <c r="DB97" i="18"/>
  <c r="CV97" i="18"/>
  <c r="AJ97" i="18"/>
  <c r="AA97" i="18"/>
  <c r="CG97" i="18"/>
  <c r="DL97" i="18"/>
  <c r="BH97" i="18"/>
  <c r="BP97" i="18"/>
  <c r="AA106" i="18"/>
  <c r="AQ106" i="18"/>
  <c r="BG106" i="18"/>
  <c r="BW106" i="18"/>
  <c r="CM106" i="18"/>
  <c r="DC106" i="18"/>
  <c r="DS106" i="18"/>
  <c r="AD106" i="18"/>
  <c r="AT106" i="18"/>
  <c r="BJ106" i="18"/>
  <c r="BZ106" i="18"/>
  <c r="CP106" i="18"/>
  <c r="DF106" i="18"/>
  <c r="Q106" i="18"/>
  <c r="AG106" i="18"/>
  <c r="AW106" i="18"/>
  <c r="BM106" i="18"/>
  <c r="CC106" i="18"/>
  <c r="CS106" i="18"/>
  <c r="DI106" i="18"/>
  <c r="T106" i="18"/>
  <c r="AJ106" i="18"/>
  <c r="AZ106" i="18"/>
  <c r="BP106" i="18"/>
  <c r="CF106" i="18"/>
  <c r="CV106" i="18"/>
  <c r="DL106" i="18"/>
  <c r="W106" i="18"/>
  <c r="AM106" i="18"/>
  <c r="BC106" i="18"/>
  <c r="BS106" i="18"/>
  <c r="CI106" i="18"/>
  <c r="CY106" i="18"/>
  <c r="DO106" i="18"/>
  <c r="Z106" i="18"/>
  <c r="AP106" i="18"/>
  <c r="BF106" i="18"/>
  <c r="BV106" i="18"/>
  <c r="CL106" i="18"/>
  <c r="DB106" i="18"/>
  <c r="DR106" i="18"/>
  <c r="AC106" i="18"/>
  <c r="AS106" i="18"/>
  <c r="BI106" i="18"/>
  <c r="BY106" i="18"/>
  <c r="CO106" i="18"/>
  <c r="DE106" i="18"/>
  <c r="DU106" i="18"/>
  <c r="AF106" i="18"/>
  <c r="AV106" i="18"/>
  <c r="BL106" i="18"/>
  <c r="CB106" i="18"/>
  <c r="CR106" i="18"/>
  <c r="AI106" i="18"/>
  <c r="BO106" i="18"/>
  <c r="CU106" i="18"/>
  <c r="V106" i="18"/>
  <c r="BB106" i="18"/>
  <c r="CH106" i="18"/>
  <c r="DN106" i="18"/>
  <c r="AO106" i="18"/>
  <c r="BU106" i="18"/>
  <c r="DA106" i="18"/>
  <c r="AB106" i="18"/>
  <c r="BH106" i="18"/>
  <c r="CN106" i="18"/>
  <c r="DP106" i="18"/>
  <c r="AE106" i="18"/>
  <c r="BK106" i="18"/>
  <c r="CQ106" i="18"/>
  <c r="R106" i="18"/>
  <c r="AX106" i="18"/>
  <c r="CD106" i="18"/>
  <c r="DJ106" i="18"/>
  <c r="AK106" i="18"/>
  <c r="BQ106" i="18"/>
  <c r="CW106" i="18"/>
  <c r="X106" i="18"/>
  <c r="BD106" i="18"/>
  <c r="CJ106" i="18"/>
  <c r="DH106" i="18"/>
  <c r="S106" i="18"/>
  <c r="AY106" i="18"/>
  <c r="CE106" i="18"/>
  <c r="DK106" i="18"/>
  <c r="AL106" i="18"/>
  <c r="BR106" i="18"/>
  <c r="CX106" i="18"/>
  <c r="Y106" i="18"/>
  <c r="BE106" i="18"/>
  <c r="CK106" i="18"/>
  <c r="DQ106" i="18"/>
  <c r="AR106" i="18"/>
  <c r="BX106" i="18"/>
  <c r="DD106" i="18"/>
  <c r="P106" i="18"/>
  <c r="DG106" i="18"/>
  <c r="U106" i="18"/>
  <c r="AN106" i="18"/>
  <c r="AH106" i="18"/>
  <c r="BT106" i="18"/>
  <c r="CA106" i="18"/>
  <c r="CT106" i="18"/>
  <c r="DM106" i="18"/>
  <c r="DT106" i="18"/>
  <c r="AU106" i="18"/>
  <c r="BN106" i="18"/>
  <c r="CG106" i="18"/>
  <c r="CZ106" i="18"/>
  <c r="BA106" i="18"/>
  <c r="BD84" i="18"/>
  <c r="DM84" i="18"/>
  <c r="DP84" i="18"/>
  <c r="DL84" i="18"/>
  <c r="DQ84" i="18"/>
  <c r="DT84" i="18"/>
  <c r="AY89" i="18"/>
  <c r="DK84" i="18"/>
  <c r="DU84" i="18"/>
  <c r="DJ84" i="18"/>
  <c r="DN84" i="18"/>
  <c r="DR84" i="18"/>
  <c r="DS84" i="18"/>
  <c r="CW84" i="18"/>
  <c r="CG84" i="18"/>
  <c r="BQ84" i="18"/>
  <c r="BA84" i="18"/>
  <c r="AZ84" i="18"/>
  <c r="CT84" i="18"/>
  <c r="CD84" i="18"/>
  <c r="BN84" i="18"/>
  <c r="DG84" i="18"/>
  <c r="CQ84" i="18"/>
  <c r="CA84" i="18"/>
  <c r="BK84" i="18"/>
  <c r="CV84" i="18"/>
  <c r="CF84" i="18"/>
  <c r="BP84" i="18"/>
  <c r="CK84" i="18"/>
  <c r="BU84" i="18"/>
  <c r="CH84" i="18"/>
  <c r="CE84" i="18"/>
  <c r="CZ84" i="18"/>
  <c r="BT84" i="18"/>
  <c r="DO84" i="18"/>
  <c r="CS84" i="18"/>
  <c r="DF84" i="18"/>
  <c r="BZ84" i="18"/>
  <c r="DC84" i="18"/>
  <c r="BG84" i="18"/>
  <c r="CR84" i="18"/>
  <c r="DA84" i="18"/>
  <c r="BE84" i="18"/>
  <c r="CX84" i="18"/>
  <c r="BR84" i="18"/>
  <c r="BB84" i="18"/>
  <c r="CU84" i="18"/>
  <c r="BO84" i="18"/>
  <c r="CJ84" i="18"/>
  <c r="BM84" i="18"/>
  <c r="BJ84" i="18"/>
  <c r="BW84" i="18"/>
  <c r="CB84" i="18"/>
  <c r="DE84" i="18"/>
  <c r="CO84" i="18"/>
  <c r="BY84" i="18"/>
  <c r="BI84" i="18"/>
  <c r="DB84" i="18"/>
  <c r="CL84" i="18"/>
  <c r="BV84" i="18"/>
  <c r="BF84" i="18"/>
  <c r="CY84" i="18"/>
  <c r="CI84" i="18"/>
  <c r="BS84" i="18"/>
  <c r="BC84" i="18"/>
  <c r="DD84" i="18"/>
  <c r="CN84" i="18"/>
  <c r="BX84" i="18"/>
  <c r="BH84" i="18"/>
  <c r="DI84" i="18"/>
  <c r="CC84" i="18"/>
  <c r="CP84" i="18"/>
  <c r="CM84" i="18"/>
  <c r="DH84" i="18"/>
  <c r="BL84" i="18"/>
  <c r="DO120" i="18"/>
  <c r="DR120" i="18"/>
  <c r="DU120" i="18"/>
  <c r="DS120" i="18"/>
  <c r="P120" i="18"/>
  <c r="DL120" i="18"/>
  <c r="DK120" i="18"/>
  <c r="DN120" i="18"/>
  <c r="DQ120" i="18"/>
  <c r="DT120" i="18"/>
  <c r="DJ120" i="18"/>
  <c r="DM120" i="18"/>
  <c r="DP120" i="18"/>
  <c r="Z115" i="18"/>
  <c r="AP115" i="18"/>
  <c r="BF115" i="18"/>
  <c r="BV115" i="18"/>
  <c r="CL115" i="18"/>
  <c r="DB115" i="18"/>
  <c r="DR115" i="18"/>
  <c r="AC115" i="18"/>
  <c r="AS115" i="18"/>
  <c r="BI115" i="18"/>
  <c r="BY115" i="18"/>
  <c r="CO115" i="18"/>
  <c r="DE115" i="18"/>
  <c r="DU115" i="18"/>
  <c r="AV115" i="18"/>
  <c r="CB115" i="18"/>
  <c r="DH115" i="18"/>
  <c r="AB115" i="18"/>
  <c r="BH115" i="18"/>
  <c r="CN115" i="18"/>
  <c r="DT115" i="18"/>
  <c r="AD115" i="18"/>
  <c r="AX115" i="18"/>
  <c r="BR115" i="18"/>
  <c r="CP115" i="18"/>
  <c r="DJ115" i="18"/>
  <c r="Y115" i="18"/>
  <c r="AW115" i="18"/>
  <c r="BQ115" i="18"/>
  <c r="CK115" i="18"/>
  <c r="DI115" i="18"/>
  <c r="AF115" i="18"/>
  <c r="BT115" i="18"/>
  <c r="DP115" i="18"/>
  <c r="AR115" i="18"/>
  <c r="CF115" i="18"/>
  <c r="V115" i="18"/>
  <c r="AT115" i="18"/>
  <c r="BN115" i="18"/>
  <c r="CH115" i="18"/>
  <c r="DF115" i="18"/>
  <c r="U115" i="18"/>
  <c r="AO115" i="18"/>
  <c r="BM115" i="18"/>
  <c r="CG115" i="18"/>
  <c r="DA115" i="18"/>
  <c r="X115" i="18"/>
  <c r="BL115" i="18"/>
  <c r="CZ115" i="18"/>
  <c r="AJ115" i="18"/>
  <c r="BX115" i="18"/>
  <c r="DL115" i="18"/>
  <c r="CI115" i="18"/>
  <c r="AL115" i="18"/>
  <c r="CD115" i="18"/>
  <c r="Q115" i="18"/>
  <c r="BE115" i="18"/>
  <c r="CW115" i="18"/>
  <c r="BD115" i="18"/>
  <c r="T115" i="18"/>
  <c r="DD115" i="18"/>
  <c r="W115" i="18"/>
  <c r="CQ115" i="18"/>
  <c r="AE115" i="18"/>
  <c r="AM115" i="18"/>
  <c r="DS115" i="18"/>
  <c r="DK115" i="18"/>
  <c r="AY115" i="18"/>
  <c r="AH115" i="18"/>
  <c r="BZ115" i="18"/>
  <c r="DN115" i="18"/>
  <c r="BA115" i="18"/>
  <c r="CS115" i="18"/>
  <c r="AN115" i="18"/>
  <c r="P115" i="18"/>
  <c r="CV115" i="18"/>
  <c r="BC115" i="18"/>
  <c r="AQ115" i="18"/>
  <c r="DG115" i="18"/>
  <c r="AU115" i="18"/>
  <c r="R115" i="18"/>
  <c r="CX115" i="18"/>
  <c r="CC115" i="18"/>
  <c r="CR115" i="18"/>
  <c r="DO115" i="18"/>
  <c r="BW115" i="18"/>
  <c r="CY115" i="18"/>
  <c r="CM115" i="18"/>
  <c r="AI115" i="18"/>
  <c r="CT115" i="18"/>
  <c r="BU115" i="18"/>
  <c r="CJ115" i="18"/>
  <c r="DC115" i="18"/>
  <c r="BJ115" i="18"/>
  <c r="AK115" i="18"/>
  <c r="DQ115" i="18"/>
  <c r="BP115" i="18"/>
  <c r="BK115" i="18"/>
  <c r="AA115" i="18"/>
  <c r="BB115" i="18"/>
  <c r="CA115" i="18"/>
  <c r="BS115" i="18"/>
  <c r="BG115" i="18"/>
  <c r="CE115" i="18"/>
  <c r="BO115" i="18"/>
  <c r="AZ115" i="18"/>
  <c r="CU115" i="18"/>
  <c r="DM115" i="18"/>
  <c r="S115" i="18"/>
  <c r="AG115" i="18"/>
  <c r="AE99" i="18"/>
  <c r="AU99" i="18"/>
  <c r="BK99" i="18"/>
  <c r="CA99" i="18"/>
  <c r="CQ99" i="18"/>
  <c r="DG99" i="18"/>
  <c r="Q99" i="18"/>
  <c r="AG99" i="18"/>
  <c r="AW99" i="18"/>
  <c r="BM99" i="18"/>
  <c r="CC99" i="18"/>
  <c r="CS99" i="18"/>
  <c r="DI99" i="18"/>
  <c r="AA99" i="18"/>
  <c r="AM99" i="18"/>
  <c r="BG99" i="18"/>
  <c r="CE99" i="18"/>
  <c r="CY99" i="18"/>
  <c r="DS99" i="18"/>
  <c r="AK99" i="18"/>
  <c r="BE99" i="18"/>
  <c r="BY99" i="18"/>
  <c r="CW99" i="18"/>
  <c r="DQ99" i="18"/>
  <c r="AI99" i="18"/>
  <c r="BC99" i="18"/>
  <c r="BW99" i="18"/>
  <c r="CU99" i="18"/>
  <c r="DO99" i="18"/>
  <c r="AC99" i="18"/>
  <c r="BA99" i="18"/>
  <c r="BU99" i="18"/>
  <c r="CO99" i="18"/>
  <c r="DM99" i="18"/>
  <c r="DJ99" i="18"/>
  <c r="AX99" i="18"/>
  <c r="DT99" i="18"/>
  <c r="BH99" i="18"/>
  <c r="AY99" i="18"/>
  <c r="CM99" i="18"/>
  <c r="Y99" i="18"/>
  <c r="BQ99" i="18"/>
  <c r="DE99" i="18"/>
  <c r="AH99" i="18"/>
  <c r="AR99" i="18"/>
  <c r="CX99" i="18"/>
  <c r="BR99" i="18"/>
  <c r="AL99" i="18"/>
  <c r="DB99" i="18"/>
  <c r="AP99" i="18"/>
  <c r="BP99" i="18"/>
  <c r="CZ99" i="18"/>
  <c r="BT99" i="18"/>
  <c r="AN99" i="18"/>
  <c r="AQ99" i="18"/>
  <c r="CI99" i="18"/>
  <c r="U99" i="18"/>
  <c r="BI99" i="18"/>
  <c r="DA99" i="18"/>
  <c r="BN99" i="18"/>
  <c r="BX99" i="18"/>
  <c r="DF99" i="18"/>
  <c r="BZ99" i="18"/>
  <c r="AT99" i="18"/>
  <c r="BS99" i="18"/>
  <c r="AS99" i="18"/>
  <c r="CH99" i="18"/>
  <c r="V99" i="18"/>
  <c r="CL99" i="18"/>
  <c r="DL99" i="18"/>
  <c r="AJ99" i="18"/>
  <c r="CR99" i="18"/>
  <c r="BD99" i="18"/>
  <c r="BO99" i="18"/>
  <c r="AO99" i="18"/>
  <c r="DU99" i="18"/>
  <c r="R99" i="18"/>
  <c r="AB99" i="18"/>
  <c r="CP99" i="18"/>
  <c r="AD99" i="18"/>
  <c r="W99" i="18"/>
  <c r="DK99" i="18"/>
  <c r="CK99" i="18"/>
  <c r="CD99" i="18"/>
  <c r="CN99" i="18"/>
  <c r="DN99" i="18"/>
  <c r="BB99" i="18"/>
  <c r="BF99" i="18"/>
  <c r="CF99" i="18"/>
  <c r="CT99" i="18"/>
  <c r="T99" i="18"/>
  <c r="CB99" i="18"/>
  <c r="X99" i="18"/>
  <c r="DP99" i="18"/>
  <c r="CG99" i="18"/>
  <c r="DD99" i="18"/>
  <c r="BJ99" i="18"/>
  <c r="Z99" i="18"/>
  <c r="AZ99" i="18"/>
  <c r="CJ99" i="18"/>
  <c r="AF99" i="18"/>
  <c r="S99" i="18"/>
  <c r="BL99" i="18"/>
  <c r="DC99" i="18"/>
  <c r="P99" i="18"/>
  <c r="BV99" i="18"/>
  <c r="CV99" i="18"/>
  <c r="DH99" i="18"/>
  <c r="AV99" i="18"/>
  <c r="DR99" i="18"/>
  <c r="DR109" i="18"/>
  <c r="AB109" i="18"/>
  <c r="AR109" i="18"/>
  <c r="BH109" i="18"/>
  <c r="BX109" i="18"/>
  <c r="CN109" i="18"/>
  <c r="DD109" i="18"/>
  <c r="DT109" i="18"/>
  <c r="AE109" i="18"/>
  <c r="AU109" i="18"/>
  <c r="BK109" i="18"/>
  <c r="CA109" i="18"/>
  <c r="CQ109" i="18"/>
  <c r="DG109" i="18"/>
  <c r="V109" i="18"/>
  <c r="AL109" i="18"/>
  <c r="BB109" i="18"/>
  <c r="BR109" i="18"/>
  <c r="CH109" i="18"/>
  <c r="CX109" i="18"/>
  <c r="DN109" i="18"/>
  <c r="AC109" i="18"/>
  <c r="AS109" i="18"/>
  <c r="BI109" i="18"/>
  <c r="BY109" i="18"/>
  <c r="CO109" i="18"/>
  <c r="DE109" i="18"/>
  <c r="DU109" i="18"/>
  <c r="AJ109" i="18"/>
  <c r="BD109" i="18"/>
  <c r="CB109" i="18"/>
  <c r="CV109" i="18"/>
  <c r="DP109" i="18"/>
  <c r="AI109" i="18"/>
  <c r="BC109" i="18"/>
  <c r="BW109" i="18"/>
  <c r="CU109" i="18"/>
  <c r="DO109" i="18"/>
  <c r="AH109" i="18"/>
  <c r="BF109" i="18"/>
  <c r="BZ109" i="18"/>
  <c r="CT109" i="18"/>
  <c r="Q109" i="18"/>
  <c r="AK109" i="18"/>
  <c r="BE109" i="18"/>
  <c r="CC109" i="18"/>
  <c r="CW109" i="18"/>
  <c r="DQ109" i="18"/>
  <c r="AF109" i="18"/>
  <c r="AZ109" i="18"/>
  <c r="BT109" i="18"/>
  <c r="CR109" i="18"/>
  <c r="DL109" i="18"/>
  <c r="AA109" i="18"/>
  <c r="AY109" i="18"/>
  <c r="BS109" i="18"/>
  <c r="CM109" i="18"/>
  <c r="DK109" i="18"/>
  <c r="AD109" i="18"/>
  <c r="AX109" i="18"/>
  <c r="BV109" i="18"/>
  <c r="CP109" i="18"/>
  <c r="DJ109" i="18"/>
  <c r="AG109" i="18"/>
  <c r="BA109" i="18"/>
  <c r="BU109" i="18"/>
  <c r="CS109" i="18"/>
  <c r="DM109" i="18"/>
  <c r="AV109" i="18"/>
  <c r="CJ109" i="18"/>
  <c r="W109" i="18"/>
  <c r="BO109" i="18"/>
  <c r="DC109" i="18"/>
  <c r="AT109" i="18"/>
  <c r="CL109" i="18"/>
  <c r="Y109" i="18"/>
  <c r="BQ109" i="18"/>
  <c r="DI109" i="18"/>
  <c r="AN109" i="18"/>
  <c r="CF109" i="18"/>
  <c r="S109" i="18"/>
  <c r="BG109" i="18"/>
  <c r="CY109" i="18"/>
  <c r="AP109" i="18"/>
  <c r="CD109" i="18"/>
  <c r="U109" i="18"/>
  <c r="BM109" i="18"/>
  <c r="DA109" i="18"/>
  <c r="X109" i="18"/>
  <c r="DH109" i="18"/>
  <c r="CI109" i="18"/>
  <c r="BN109" i="18"/>
  <c r="AW109" i="18"/>
  <c r="DS109" i="18"/>
  <c r="T109" i="18"/>
  <c r="CZ109" i="18"/>
  <c r="CE109" i="18"/>
  <c r="BJ109" i="18"/>
  <c r="AO109" i="18"/>
  <c r="P109" i="18"/>
  <c r="BP109" i="18"/>
  <c r="AQ109" i="18"/>
  <c r="Z109" i="18"/>
  <c r="DF109" i="18"/>
  <c r="CK109" i="18"/>
  <c r="DB109" i="18"/>
  <c r="R109" i="18"/>
  <c r="AM109" i="18"/>
  <c r="BL109" i="18"/>
  <c r="CG109" i="18"/>
  <c r="Z116" i="18"/>
  <c r="CL116" i="18"/>
  <c r="Q116" i="18"/>
  <c r="AG116" i="18"/>
  <c r="AW116" i="18"/>
  <c r="BM116" i="18"/>
  <c r="CC116" i="18"/>
  <c r="CS116" i="18"/>
  <c r="DI116" i="18"/>
  <c r="T116" i="18"/>
  <c r="AJ116" i="18"/>
  <c r="AZ116" i="18"/>
  <c r="BP116" i="18"/>
  <c r="CF116" i="18"/>
  <c r="CV116" i="18"/>
  <c r="DL116" i="18"/>
  <c r="AA116" i="18"/>
  <c r="BG116" i="18"/>
  <c r="CM116" i="18"/>
  <c r="DS116" i="18"/>
  <c r="AU116" i="18"/>
  <c r="CA116" i="18"/>
  <c r="DG116" i="18"/>
  <c r="AP116" i="18"/>
  <c r="P116" i="18"/>
  <c r="BF116" i="18"/>
  <c r="BV116" i="18"/>
  <c r="AC116" i="18"/>
  <c r="BA116" i="18"/>
  <c r="BU116" i="18"/>
  <c r="CO116" i="18"/>
  <c r="DM116" i="18"/>
  <c r="AB116" i="18"/>
  <c r="AV116" i="18"/>
  <c r="BT116" i="18"/>
  <c r="CN116" i="18"/>
  <c r="DH116" i="18"/>
  <c r="AI116" i="18"/>
  <c r="BW116" i="18"/>
  <c r="DK116" i="18"/>
  <c r="BC116" i="18"/>
  <c r="CQ116" i="18"/>
  <c r="DR116" i="18"/>
  <c r="Y116" i="18"/>
  <c r="AS116" i="18"/>
  <c r="BQ116" i="18"/>
  <c r="CK116" i="18"/>
  <c r="DE116" i="18"/>
  <c r="X116" i="18"/>
  <c r="AR116" i="18"/>
  <c r="BL116" i="18"/>
  <c r="CJ116" i="18"/>
  <c r="DD116" i="18"/>
  <c r="S116" i="18"/>
  <c r="BO116" i="18"/>
  <c r="DC116" i="18"/>
  <c r="AM116" i="18"/>
  <c r="CI116" i="18"/>
  <c r="DB116" i="18"/>
  <c r="AO116" i="18"/>
  <c r="CG116" i="18"/>
  <c r="DU116" i="18"/>
  <c r="BH116" i="18"/>
  <c r="CZ116" i="18"/>
  <c r="AY116" i="18"/>
  <c r="AE116" i="18"/>
  <c r="DO116" i="18"/>
  <c r="AD116" i="18"/>
  <c r="DJ116" i="18"/>
  <c r="AX116" i="18"/>
  <c r="BR116" i="18"/>
  <c r="AK116" i="18"/>
  <c r="BY116" i="18"/>
  <c r="DQ116" i="18"/>
  <c r="BD116" i="18"/>
  <c r="CR116" i="18"/>
  <c r="AQ116" i="18"/>
  <c r="W116" i="18"/>
  <c r="CY116" i="18"/>
  <c r="BJ116" i="18"/>
  <c r="BN116" i="18"/>
  <c r="U116" i="18"/>
  <c r="DA116" i="18"/>
  <c r="CB116" i="18"/>
  <c r="CU116" i="18"/>
  <c r="R116" i="18"/>
  <c r="CX116" i="18"/>
  <c r="V116" i="18"/>
  <c r="CW116" i="18"/>
  <c r="BX116" i="18"/>
  <c r="CE116" i="18"/>
  <c r="AH116" i="18"/>
  <c r="BI116" i="18"/>
  <c r="AN116" i="18"/>
  <c r="DT116" i="18"/>
  <c r="BS116" i="18"/>
  <c r="CP116" i="18"/>
  <c r="CD116" i="18"/>
  <c r="BZ116" i="18"/>
  <c r="BE116" i="18"/>
  <c r="CH116" i="18"/>
  <c r="DN116" i="18"/>
  <c r="BK116" i="18"/>
  <c r="CT116" i="18"/>
  <c r="AT116" i="18"/>
  <c r="DP116" i="18"/>
  <c r="DF116" i="18"/>
  <c r="AL116" i="18"/>
  <c r="AF116" i="18"/>
  <c r="BB116" i="18"/>
  <c r="U100" i="18"/>
  <c r="DP100" i="18"/>
  <c r="CR100" i="18"/>
  <c r="CZ100" i="18"/>
  <c r="CB100" i="18"/>
  <c r="T100" i="18"/>
  <c r="AJ100" i="18"/>
  <c r="AZ100" i="18"/>
  <c r="S100" i="18"/>
  <c r="AI100" i="18"/>
  <c r="AY100" i="18"/>
  <c r="Z100" i="18"/>
  <c r="BF100" i="18"/>
  <c r="BY100" i="18"/>
  <c r="CO100" i="18"/>
  <c r="DE100" i="18"/>
  <c r="DU100" i="18"/>
  <c r="AT100" i="18"/>
  <c r="BS100" i="18"/>
  <c r="CI100" i="18"/>
  <c r="CY100" i="18"/>
  <c r="DO100" i="18"/>
  <c r="DH100" i="18"/>
  <c r="Q100" i="18"/>
  <c r="AN100" i="18"/>
  <c r="BH100" i="18"/>
  <c r="AE100" i="18"/>
  <c r="BC100" i="18"/>
  <c r="AP100" i="18"/>
  <c r="BU100" i="18"/>
  <c r="CS100" i="18"/>
  <c r="DM100" i="18"/>
  <c r="AL100" i="18"/>
  <c r="BW100" i="18"/>
  <c r="CQ100" i="18"/>
  <c r="DK100" i="18"/>
  <c r="BK100" i="18"/>
  <c r="BT100" i="18"/>
  <c r="AF100" i="18"/>
  <c r="BD100" i="18"/>
  <c r="AA100" i="18"/>
  <c r="AU100" i="18"/>
  <c r="AH100" i="18"/>
  <c r="BQ100" i="18"/>
  <c r="CK100" i="18"/>
  <c r="DI100" i="18"/>
  <c r="AD100" i="18"/>
  <c r="BO100" i="18"/>
  <c r="CM100" i="18"/>
  <c r="DG100" i="18"/>
  <c r="DB100" i="18"/>
  <c r="AB100" i="18"/>
  <c r="W100" i="18"/>
  <c r="R100" i="18"/>
  <c r="CG100" i="18"/>
  <c r="V100" i="18"/>
  <c r="CE100" i="18"/>
  <c r="BV100" i="18"/>
  <c r="DL100" i="18"/>
  <c r="CF100" i="18"/>
  <c r="AO100" i="18"/>
  <c r="DJ100" i="18"/>
  <c r="AK100" i="18"/>
  <c r="DN100" i="18"/>
  <c r="CH100" i="18"/>
  <c r="AS100" i="18"/>
  <c r="X100" i="18"/>
  <c r="BL100" i="18"/>
  <c r="BG100" i="18"/>
  <c r="CC100" i="18"/>
  <c r="DQ100" i="18"/>
  <c r="CA100" i="18"/>
  <c r="DS100" i="18"/>
  <c r="CL100" i="18"/>
  <c r="DT100" i="18"/>
  <c r="CN100" i="18"/>
  <c r="BE100" i="18"/>
  <c r="AW100" i="18"/>
  <c r="AQ100" i="18"/>
  <c r="DA100" i="18"/>
  <c r="DC100" i="18"/>
  <c r="DR100" i="18"/>
  <c r="BP100" i="18"/>
  <c r="BN100" i="18"/>
  <c r="P100" i="18"/>
  <c r="BZ100" i="18"/>
  <c r="CJ100" i="18"/>
  <c r="AG100" i="18"/>
  <c r="AM100" i="18"/>
  <c r="CW100" i="18"/>
  <c r="CU100" i="18"/>
  <c r="BX100" i="18"/>
  <c r="AV100" i="18"/>
  <c r="BM100" i="18"/>
  <c r="BJ100" i="18"/>
  <c r="CV100" i="18"/>
  <c r="CT100" i="18"/>
  <c r="BB100" i="18"/>
  <c r="BA100" i="18"/>
  <c r="DD100" i="18"/>
  <c r="BR100" i="18"/>
  <c r="Y100" i="18"/>
  <c r="CD100" i="18"/>
  <c r="BI100" i="18"/>
  <c r="AX100" i="18"/>
  <c r="CP100" i="18"/>
  <c r="AR100" i="18"/>
  <c r="CX100" i="18"/>
  <c r="AC100" i="18"/>
  <c r="DF100" i="18"/>
  <c r="X105" i="18"/>
  <c r="AN105" i="18"/>
  <c r="BD105" i="18"/>
  <c r="BT105" i="18"/>
  <c r="CJ105" i="18"/>
  <c r="AB105" i="18"/>
  <c r="AV105" i="18"/>
  <c r="BP105" i="18"/>
  <c r="CN105" i="18"/>
  <c r="DD105" i="18"/>
  <c r="DT105" i="18"/>
  <c r="AE105" i="18"/>
  <c r="AU105" i="18"/>
  <c r="BK105" i="18"/>
  <c r="CA105" i="18"/>
  <c r="CQ105" i="18"/>
  <c r="DG105" i="18"/>
  <c r="R105" i="18"/>
  <c r="AH105" i="18"/>
  <c r="AX105" i="18"/>
  <c r="BN105" i="18"/>
  <c r="CD105" i="18"/>
  <c r="CT105" i="18"/>
  <c r="DJ105" i="18"/>
  <c r="U105" i="18"/>
  <c r="AK105" i="18"/>
  <c r="BA105" i="18"/>
  <c r="BQ105" i="18"/>
  <c r="CG105" i="18"/>
  <c r="CW105" i="18"/>
  <c r="DM105" i="18"/>
  <c r="T105" i="18"/>
  <c r="AR105" i="18"/>
  <c r="BL105" i="18"/>
  <c r="CF105" i="18"/>
  <c r="CZ105" i="18"/>
  <c r="DP105" i="18"/>
  <c r="AA105" i="18"/>
  <c r="AQ105" i="18"/>
  <c r="BG105" i="18"/>
  <c r="BW105" i="18"/>
  <c r="CM105" i="18"/>
  <c r="DC105" i="18"/>
  <c r="DS105" i="18"/>
  <c r="AD105" i="18"/>
  <c r="AT105" i="18"/>
  <c r="BJ105" i="18"/>
  <c r="BZ105" i="18"/>
  <c r="CP105" i="18"/>
  <c r="DF105" i="18"/>
  <c r="Q105" i="18"/>
  <c r="AG105" i="18"/>
  <c r="AW105" i="18"/>
  <c r="BM105" i="18"/>
  <c r="CC105" i="18"/>
  <c r="CS105" i="18"/>
  <c r="DI105" i="18"/>
  <c r="P105" i="18"/>
  <c r="AJ105" i="18"/>
  <c r="CB105" i="18"/>
  <c r="DL105" i="18"/>
  <c r="AM105" i="18"/>
  <c r="BS105" i="18"/>
  <c r="CY105" i="18"/>
  <c r="Z105" i="18"/>
  <c r="BF105" i="18"/>
  <c r="CL105" i="18"/>
  <c r="DR105" i="18"/>
  <c r="AS105" i="18"/>
  <c r="BY105" i="18"/>
  <c r="DE105" i="18"/>
  <c r="AF105" i="18"/>
  <c r="BX105" i="18"/>
  <c r="DH105" i="18"/>
  <c r="AI105" i="18"/>
  <c r="BO105" i="18"/>
  <c r="CU105" i="18"/>
  <c r="V105" i="18"/>
  <c r="BB105" i="18"/>
  <c r="CH105" i="18"/>
  <c r="DN105" i="18"/>
  <c r="AO105" i="18"/>
  <c r="BU105" i="18"/>
  <c r="DA105" i="18"/>
  <c r="CV105" i="18"/>
  <c r="BC105" i="18"/>
  <c r="DO105" i="18"/>
  <c r="BV105" i="18"/>
  <c r="AC105" i="18"/>
  <c r="CO105" i="18"/>
  <c r="CR105" i="18"/>
  <c r="AY105" i="18"/>
  <c r="DK105" i="18"/>
  <c r="BR105" i="18"/>
  <c r="Y105" i="18"/>
  <c r="CK105" i="18"/>
  <c r="BH105" i="18"/>
  <c r="W105" i="18"/>
  <c r="CI105" i="18"/>
  <c r="AP105" i="18"/>
  <c r="DB105" i="18"/>
  <c r="BI105" i="18"/>
  <c r="DU105" i="18"/>
  <c r="CE105" i="18"/>
  <c r="DQ105" i="18"/>
  <c r="S105" i="18"/>
  <c r="BE105" i="18"/>
  <c r="AZ105" i="18"/>
  <c r="CX105" i="18"/>
  <c r="AL105" i="18"/>
  <c r="AS110" i="18"/>
  <c r="CV110" i="18"/>
  <c r="AC110" i="18"/>
  <c r="BP110" i="18"/>
  <c r="BX110" i="18"/>
  <c r="DD110" i="18"/>
  <c r="W110" i="18"/>
  <c r="AM110" i="18"/>
  <c r="BC110" i="18"/>
  <c r="AB110" i="18"/>
  <c r="AR110" i="18"/>
  <c r="R110" i="18"/>
  <c r="AX110" i="18"/>
  <c r="BS110" i="18"/>
  <c r="CI110" i="18"/>
  <c r="CY110" i="18"/>
  <c r="DO110" i="18"/>
  <c r="AG110" i="18"/>
  <c r="BJ110" i="18"/>
  <c r="BZ110" i="18"/>
  <c r="CP110" i="18"/>
  <c r="DF110" i="18"/>
  <c r="P110" i="18"/>
  <c r="BM110" i="18"/>
  <c r="CS110" i="18"/>
  <c r="U110" i="18"/>
  <c r="BT110" i="18"/>
  <c r="CZ110" i="18"/>
  <c r="AT110" i="18"/>
  <c r="CG110" i="18"/>
  <c r="DM110" i="18"/>
  <c r="S110" i="18"/>
  <c r="AI110" i="18"/>
  <c r="AY110" i="18"/>
  <c r="X110" i="18"/>
  <c r="AN110" i="18"/>
  <c r="BD110" i="18"/>
  <c r="AP110" i="18"/>
  <c r="BO110" i="18"/>
  <c r="CE110" i="18"/>
  <c r="CU110" i="18"/>
  <c r="DK110" i="18"/>
  <c r="Y110" i="18"/>
  <c r="BE110" i="18"/>
  <c r="BV110" i="18"/>
  <c r="CL110" i="18"/>
  <c r="DB110" i="18"/>
  <c r="DR110" i="18"/>
  <c r="BB110" i="18"/>
  <c r="CK110" i="18"/>
  <c r="DQ110" i="18"/>
  <c r="BL110" i="18"/>
  <c r="CR110" i="18"/>
  <c r="AD110" i="18"/>
  <c r="BY110" i="18"/>
  <c r="DE110" i="18"/>
  <c r="AU110" i="18"/>
  <c r="AJ110" i="18"/>
  <c r="AH110" i="18"/>
  <c r="CA110" i="18"/>
  <c r="DG110" i="18"/>
  <c r="AW110" i="18"/>
  <c r="CH110" i="18"/>
  <c r="DN110" i="18"/>
  <c r="CC110" i="18"/>
  <c r="BA110" i="18"/>
  <c r="DP110" i="18"/>
  <c r="CW110" i="18"/>
  <c r="BH110" i="18"/>
  <c r="AQ110" i="18"/>
  <c r="AF110" i="18"/>
  <c r="Z110" i="18"/>
  <c r="BW110" i="18"/>
  <c r="DC110" i="18"/>
  <c r="AO110" i="18"/>
  <c r="CD110" i="18"/>
  <c r="DJ110" i="18"/>
  <c r="BU110" i="18"/>
  <c r="AK110" i="18"/>
  <c r="DH110" i="18"/>
  <c r="CO110" i="18"/>
  <c r="CF110" i="18"/>
  <c r="AE110" i="18"/>
  <c r="T110" i="18"/>
  <c r="AZ110" i="18"/>
  <c r="BK110" i="18"/>
  <c r="CQ110" i="18"/>
  <c r="Q110" i="18"/>
  <c r="BR110" i="18"/>
  <c r="CX110" i="18"/>
  <c r="AL110" i="18"/>
  <c r="DI110" i="18"/>
  <c r="CJ110" i="18"/>
  <c r="BQ110" i="18"/>
  <c r="BF110" i="18"/>
  <c r="CT110" i="18"/>
  <c r="BI110" i="18"/>
  <c r="CN110" i="18"/>
  <c r="DT110" i="18"/>
  <c r="CM110" i="18"/>
  <c r="DL110" i="18"/>
  <c r="AV110" i="18"/>
  <c r="BN110" i="18"/>
  <c r="CB110" i="18"/>
  <c r="DU110" i="18"/>
  <c r="BG110" i="18"/>
  <c r="DS110" i="18"/>
  <c r="DA110" i="18"/>
  <c r="AA110" i="18"/>
  <c r="V110" i="18"/>
  <c r="S94" i="18"/>
  <c r="CM94" i="18"/>
  <c r="AV94" i="18"/>
  <c r="DT94" i="18"/>
  <c r="CD94" i="18"/>
  <c r="AM94" i="18"/>
  <c r="CH94" i="18"/>
  <c r="AQ94" i="18"/>
  <c r="CI94" i="18"/>
  <c r="AR94" i="18"/>
  <c r="CX94" i="18"/>
  <c r="BG94" i="18"/>
  <c r="CN94" i="18"/>
  <c r="AX94" i="18"/>
  <c r="CR94" i="18"/>
  <c r="BB94" i="18"/>
  <c r="CT94" i="18"/>
  <c r="BC94" i="18"/>
  <c r="DH94" i="18"/>
  <c r="AA94" i="18"/>
  <c r="BH94" i="18"/>
  <c r="BL94" i="18"/>
  <c r="DD94" i="18"/>
  <c r="W94" i="18"/>
  <c r="DS94" i="18"/>
  <c r="AL94" i="18"/>
  <c r="BS94" i="18"/>
  <c r="BW94" i="18"/>
  <c r="DO94" i="18"/>
  <c r="AH94" i="18"/>
  <c r="BR94" i="18"/>
  <c r="CY94" i="18"/>
  <c r="V94" i="18"/>
  <c r="BN94" i="18"/>
  <c r="DP94" i="18"/>
  <c r="CU94" i="18"/>
  <c r="BZ94" i="18"/>
  <c r="BD94" i="18"/>
  <c r="AI94" i="18"/>
  <c r="AC94" i="18"/>
  <c r="AS94" i="18"/>
  <c r="BI94" i="18"/>
  <c r="BY94" i="18"/>
  <c r="CO94" i="18"/>
  <c r="DE94" i="18"/>
  <c r="DU94" i="18"/>
  <c r="DR94" i="18"/>
  <c r="CV94" i="18"/>
  <c r="CA94" i="18"/>
  <c r="BF94" i="18"/>
  <c r="AJ94" i="18"/>
  <c r="CB94" i="18"/>
  <c r="DJ94" i="18"/>
  <c r="AF94" i="18"/>
  <c r="BX94" i="18"/>
  <c r="P94" i="18"/>
  <c r="CZ94" i="18"/>
  <c r="CE94" i="18"/>
  <c r="BJ94" i="18"/>
  <c r="AN94" i="18"/>
  <c r="R94" i="18"/>
  <c r="DF94" i="18"/>
  <c r="BO94" i="18"/>
  <c r="X94" i="18"/>
  <c r="Y94" i="18"/>
  <c r="AW94" i="18"/>
  <c r="BQ94" i="18"/>
  <c r="CK94" i="18"/>
  <c r="DI94" i="18"/>
  <c r="CQ94" i="18"/>
  <c r="BP94" i="18"/>
  <c r="AP94" i="18"/>
  <c r="AB94" i="18"/>
  <c r="DK94" i="18"/>
  <c r="BT94" i="18"/>
  <c r="AD94" i="18"/>
  <c r="DC94" i="18"/>
  <c r="CJ94" i="18"/>
  <c r="AT94" i="18"/>
  <c r="Q94" i="18"/>
  <c r="AK94" i="18"/>
  <c r="BE94" i="18"/>
  <c r="CC94" i="18"/>
  <c r="CW94" i="18"/>
  <c r="DQ94" i="18"/>
  <c r="DG94" i="18"/>
  <c r="CF94" i="18"/>
  <c r="AZ94" i="18"/>
  <c r="AG94" i="18"/>
  <c r="BU94" i="18"/>
  <c r="DM94" i="18"/>
  <c r="CL94" i="18"/>
  <c r="AE94" i="18"/>
  <c r="AO94" i="18"/>
  <c r="BV94" i="18"/>
  <c r="U94" i="18"/>
  <c r="BM94" i="18"/>
  <c r="DA94" i="18"/>
  <c r="DB94" i="18"/>
  <c r="AU94" i="18"/>
  <c r="DN94" i="18"/>
  <c r="AY94" i="18"/>
  <c r="BA94" i="18"/>
  <c r="CS94" i="18"/>
  <c r="DL94" i="18"/>
  <c r="BK94" i="18"/>
  <c r="T94" i="18"/>
  <c r="CP94" i="18"/>
  <c r="CG94" i="18"/>
  <c r="Z94" i="18"/>
  <c r="AD121" i="18"/>
  <c r="AT121" i="18"/>
  <c r="BJ121" i="18"/>
  <c r="BZ121" i="18"/>
  <c r="CP121" i="18"/>
  <c r="DF121" i="18"/>
  <c r="Q121" i="18"/>
  <c r="AG121" i="18"/>
  <c r="AW121" i="18"/>
  <c r="BM121" i="18"/>
  <c r="CC121" i="18"/>
  <c r="CS121" i="18"/>
  <c r="DI121" i="18"/>
  <c r="T121" i="18"/>
  <c r="AJ121" i="18"/>
  <c r="AZ121" i="18"/>
  <c r="BP121" i="18"/>
  <c r="CF121" i="18"/>
  <c r="CV121" i="18"/>
  <c r="DL121" i="18"/>
  <c r="S121" i="18"/>
  <c r="AI121" i="18"/>
  <c r="AY121" i="18"/>
  <c r="BO121" i="18"/>
  <c r="CE121" i="18"/>
  <c r="CU121" i="18"/>
  <c r="DK121" i="18"/>
  <c r="R121" i="18"/>
  <c r="AH121" i="18"/>
  <c r="BN121" i="18"/>
  <c r="CD121" i="18"/>
  <c r="CT121" i="18"/>
  <c r="U121" i="18"/>
  <c r="AK121" i="18"/>
  <c r="BA121" i="18"/>
  <c r="CG121" i="18"/>
  <c r="CW121" i="18"/>
  <c r="DM121" i="18"/>
  <c r="AN121" i="18"/>
  <c r="BD121" i="18"/>
  <c r="CJ121" i="18"/>
  <c r="CZ121" i="18"/>
  <c r="W121" i="18"/>
  <c r="AM121" i="18"/>
  <c r="BS121" i="18"/>
  <c r="CI121" i="18"/>
  <c r="DO121" i="18"/>
  <c r="Z121" i="18"/>
  <c r="AP121" i="18"/>
  <c r="BF121" i="18"/>
  <c r="BV121" i="18"/>
  <c r="CL121" i="18"/>
  <c r="DB121" i="18"/>
  <c r="DR121" i="18"/>
  <c r="AC121" i="18"/>
  <c r="AS121" i="18"/>
  <c r="BI121" i="18"/>
  <c r="BY121" i="18"/>
  <c r="CO121" i="18"/>
  <c r="DE121" i="18"/>
  <c r="DU121" i="18"/>
  <c r="AF121" i="18"/>
  <c r="AV121" i="18"/>
  <c r="BL121" i="18"/>
  <c r="CB121" i="18"/>
  <c r="CR121" i="18"/>
  <c r="DH121" i="18"/>
  <c r="P121" i="18"/>
  <c r="AE121" i="18"/>
  <c r="AU121" i="18"/>
  <c r="BK121" i="18"/>
  <c r="CA121" i="18"/>
  <c r="CQ121" i="18"/>
  <c r="DG121" i="18"/>
  <c r="AX121" i="18"/>
  <c r="DJ121" i="18"/>
  <c r="BQ121" i="18"/>
  <c r="X121" i="18"/>
  <c r="BT121" i="18"/>
  <c r="DP121" i="18"/>
  <c r="BC121" i="18"/>
  <c r="CY121" i="18"/>
  <c r="V121" i="18"/>
  <c r="AL121" i="18"/>
  <c r="BB121" i="18"/>
  <c r="BR121" i="18"/>
  <c r="CH121" i="18"/>
  <c r="CX121" i="18"/>
  <c r="DN121" i="18"/>
  <c r="Y121" i="18"/>
  <c r="AO121" i="18"/>
  <c r="BE121" i="18"/>
  <c r="BU121" i="18"/>
  <c r="CK121" i="18"/>
  <c r="DA121" i="18"/>
  <c r="DQ121" i="18"/>
  <c r="AB121" i="18"/>
  <c r="AR121" i="18"/>
  <c r="BH121" i="18"/>
  <c r="BX121" i="18"/>
  <c r="CN121" i="18"/>
  <c r="DD121" i="18"/>
  <c r="DT121" i="18"/>
  <c r="AA121" i="18"/>
  <c r="AQ121" i="18"/>
  <c r="BG121" i="18"/>
  <c r="BW121" i="18"/>
  <c r="CM121" i="18"/>
  <c r="DC121" i="18"/>
  <c r="DS121" i="18"/>
  <c r="R103" i="18"/>
  <c r="AH103" i="18"/>
  <c r="AX103" i="18"/>
  <c r="BN103" i="18"/>
  <c r="CD103" i="18"/>
  <c r="CT103" i="18"/>
  <c r="DJ103" i="18"/>
  <c r="U103" i="18"/>
  <c r="AK103" i="18"/>
  <c r="BA103" i="18"/>
  <c r="BQ103" i="18"/>
  <c r="CG103" i="18"/>
  <c r="CW103" i="18"/>
  <c r="DM103" i="18"/>
  <c r="X103" i="18"/>
  <c r="AN103" i="18"/>
  <c r="BD103" i="18"/>
  <c r="BT103" i="18"/>
  <c r="CJ103" i="18"/>
  <c r="CZ103" i="18"/>
  <c r="DP103" i="18"/>
  <c r="AA103" i="18"/>
  <c r="AQ103" i="18"/>
  <c r="BG103" i="18"/>
  <c r="BW103" i="18"/>
  <c r="CM103" i="18"/>
  <c r="DC103" i="18"/>
  <c r="DS103" i="18"/>
  <c r="AD103" i="18"/>
  <c r="AT103" i="18"/>
  <c r="BJ103" i="18"/>
  <c r="BZ103" i="18"/>
  <c r="CP103" i="18"/>
  <c r="DF103" i="18"/>
  <c r="Q103" i="18"/>
  <c r="AG103" i="18"/>
  <c r="AW103" i="18"/>
  <c r="BM103" i="18"/>
  <c r="CC103" i="18"/>
  <c r="CS103" i="18"/>
  <c r="DI103" i="18"/>
  <c r="T103" i="18"/>
  <c r="AJ103" i="18"/>
  <c r="AZ103" i="18"/>
  <c r="BP103" i="18"/>
  <c r="CF103" i="18"/>
  <c r="CV103" i="18"/>
  <c r="DL103" i="18"/>
  <c r="W103" i="18"/>
  <c r="AM103" i="18"/>
  <c r="BC103" i="18"/>
  <c r="BS103" i="18"/>
  <c r="CI103" i="18"/>
  <c r="CY103" i="18"/>
  <c r="DO103" i="18"/>
  <c r="Z103" i="18"/>
  <c r="BF103" i="18"/>
  <c r="CL103" i="18"/>
  <c r="DR103" i="18"/>
  <c r="AS103" i="18"/>
  <c r="BY103" i="18"/>
  <c r="DE103" i="18"/>
  <c r="AF103" i="18"/>
  <c r="BL103" i="18"/>
  <c r="CR103" i="18"/>
  <c r="S103" i="18"/>
  <c r="AY103" i="18"/>
  <c r="CE103" i="18"/>
  <c r="DK103" i="18"/>
  <c r="V103" i="18"/>
  <c r="BB103" i="18"/>
  <c r="CH103" i="18"/>
  <c r="DN103" i="18"/>
  <c r="AO103" i="18"/>
  <c r="BU103" i="18"/>
  <c r="DA103" i="18"/>
  <c r="AB103" i="18"/>
  <c r="BH103" i="18"/>
  <c r="CN103" i="18"/>
  <c r="DT103" i="18"/>
  <c r="AU103" i="18"/>
  <c r="CA103" i="18"/>
  <c r="DG103" i="18"/>
  <c r="AP103" i="18"/>
  <c r="BV103" i="18"/>
  <c r="DB103" i="18"/>
  <c r="AC103" i="18"/>
  <c r="BI103" i="18"/>
  <c r="CO103" i="18"/>
  <c r="DU103" i="18"/>
  <c r="AV103" i="18"/>
  <c r="CB103" i="18"/>
  <c r="DH103" i="18"/>
  <c r="AI103" i="18"/>
  <c r="BO103" i="18"/>
  <c r="CU103" i="18"/>
  <c r="AL103" i="18"/>
  <c r="BE103" i="18"/>
  <c r="BX103" i="18"/>
  <c r="CQ103" i="18"/>
  <c r="BR103" i="18"/>
  <c r="DD103" i="18"/>
  <c r="Y103" i="18"/>
  <c r="AR103" i="18"/>
  <c r="BK103" i="18"/>
  <c r="CX103" i="18"/>
  <c r="DQ103" i="18"/>
  <c r="AE103" i="18"/>
  <c r="CK103" i="18"/>
  <c r="P103" i="18"/>
  <c r="AC117" i="18"/>
  <c r="BM117" i="18"/>
  <c r="AS117" i="18"/>
  <c r="AW117" i="18"/>
  <c r="AB117" i="18"/>
  <c r="AR117" i="18"/>
  <c r="BH117" i="18"/>
  <c r="BX117" i="18"/>
  <c r="CN117" i="18"/>
  <c r="DD117" i="18"/>
  <c r="DT117" i="18"/>
  <c r="AA117" i="18"/>
  <c r="AQ117" i="18"/>
  <c r="BG117" i="18"/>
  <c r="BW117" i="18"/>
  <c r="CM117" i="18"/>
  <c r="DC117" i="18"/>
  <c r="DS117" i="18"/>
  <c r="AT117" i="18"/>
  <c r="BZ117" i="18"/>
  <c r="DF117" i="18"/>
  <c r="AH117" i="18"/>
  <c r="BN117" i="18"/>
  <c r="CT117" i="18"/>
  <c r="CS117" i="18"/>
  <c r="BY117" i="18"/>
  <c r="CC117" i="18"/>
  <c r="BI117" i="18"/>
  <c r="CO117" i="18"/>
  <c r="AF117" i="18"/>
  <c r="AZ117" i="18"/>
  <c r="BT117" i="18"/>
  <c r="CR117" i="18"/>
  <c r="DL117" i="18"/>
  <c r="W117" i="18"/>
  <c r="AU117" i="18"/>
  <c r="BO117" i="18"/>
  <c r="CI117" i="18"/>
  <c r="DG117" i="18"/>
  <c r="AD117" i="18"/>
  <c r="BR117" i="18"/>
  <c r="DN117" i="18"/>
  <c r="AX117" i="18"/>
  <c r="CL117" i="18"/>
  <c r="Q117" i="18"/>
  <c r="DU117" i="18"/>
  <c r="X117" i="18"/>
  <c r="AV117" i="18"/>
  <c r="BP117" i="18"/>
  <c r="CJ117" i="18"/>
  <c r="DH117" i="18"/>
  <c r="S117" i="18"/>
  <c r="AM117" i="18"/>
  <c r="BK117" i="18"/>
  <c r="CE117" i="18"/>
  <c r="CY117" i="18"/>
  <c r="V117" i="18"/>
  <c r="BJ117" i="18"/>
  <c r="CX117" i="18"/>
  <c r="AP117" i="18"/>
  <c r="CD117" i="18"/>
  <c r="DR117" i="18"/>
  <c r="DE117" i="18"/>
  <c r="T117" i="18"/>
  <c r="BL117" i="18"/>
  <c r="CZ117" i="18"/>
  <c r="AI117" i="18"/>
  <c r="CA117" i="18"/>
  <c r="DO117" i="18"/>
  <c r="CP117" i="18"/>
  <c r="BV117" i="18"/>
  <c r="BQ117" i="18"/>
  <c r="CK117" i="18"/>
  <c r="Y117" i="18"/>
  <c r="AG117" i="18"/>
  <c r="BD117" i="18"/>
  <c r="CV117" i="18"/>
  <c r="AE117" i="18"/>
  <c r="BS117" i="18"/>
  <c r="DK117" i="18"/>
  <c r="CH117" i="18"/>
  <c r="BF117" i="18"/>
  <c r="CG117" i="18"/>
  <c r="U117" i="18"/>
  <c r="CF117" i="18"/>
  <c r="BC117" i="18"/>
  <c r="BB117" i="18"/>
  <c r="DJ117" i="18"/>
  <c r="AK117" i="18"/>
  <c r="BU117" i="18"/>
  <c r="CB117" i="18"/>
  <c r="AY117" i="18"/>
  <c r="AL117" i="18"/>
  <c r="DB117" i="18"/>
  <c r="BA117" i="18"/>
  <c r="DI117" i="18"/>
  <c r="AN117" i="18"/>
  <c r="P117" i="18"/>
  <c r="CU117" i="18"/>
  <c r="Z117" i="18"/>
  <c r="CW117" i="18"/>
  <c r="R117" i="18"/>
  <c r="DA117" i="18"/>
  <c r="BE117" i="18"/>
  <c r="CQ117" i="18"/>
  <c r="DQ117" i="18"/>
  <c r="DP117" i="18"/>
  <c r="DM117" i="18"/>
  <c r="AO117" i="18"/>
  <c r="AJ117" i="18"/>
  <c r="AQ83" i="18"/>
  <c r="DL83" i="18"/>
  <c r="DP83" i="18"/>
  <c r="DU83" i="18"/>
  <c r="DT83" i="18"/>
  <c r="DJ83" i="18"/>
  <c r="DQ83" i="18"/>
  <c r="DO83" i="18"/>
  <c r="DN83" i="18"/>
  <c r="AN88" i="18"/>
  <c r="DS83" i="18"/>
  <c r="CV83" i="18"/>
  <c r="DM83" i="18"/>
  <c r="DR83" i="18"/>
  <c r="DK83" i="18"/>
  <c r="DH83" i="18"/>
  <c r="CN83" i="18"/>
  <c r="BX83" i="18"/>
  <c r="BH83" i="18"/>
  <c r="AR83" i="18"/>
  <c r="DA83" i="18"/>
  <c r="CK83" i="18"/>
  <c r="BU83" i="18"/>
  <c r="BE83" i="18"/>
  <c r="CX83" i="18"/>
  <c r="CH83" i="18"/>
  <c r="BR83" i="18"/>
  <c r="BB83" i="18"/>
  <c r="DG83" i="18"/>
  <c r="CQ83" i="18"/>
  <c r="CA83" i="18"/>
  <c r="BK83" i="18"/>
  <c r="AU83" i="18"/>
  <c r="CR83" i="18"/>
  <c r="BL83" i="18"/>
  <c r="AV83" i="18"/>
  <c r="DE83" i="18"/>
  <c r="BY83" i="18"/>
  <c r="AS83" i="18"/>
  <c r="CL83" i="18"/>
  <c r="BF83" i="18"/>
  <c r="CU83" i="18"/>
  <c r="BO83" i="18"/>
  <c r="CJ83" i="18"/>
  <c r="BD83" i="18"/>
  <c r="BQ83" i="18"/>
  <c r="AO83" i="18"/>
  <c r="BN83" i="18"/>
  <c r="CM83" i="18"/>
  <c r="BG83" i="18"/>
  <c r="CB83" i="18"/>
  <c r="CO83" i="18"/>
  <c r="BI83" i="18"/>
  <c r="DB83" i="18"/>
  <c r="BV83" i="18"/>
  <c r="AP83" i="18"/>
  <c r="CE83" i="18"/>
  <c r="AY83" i="18"/>
  <c r="CG83" i="18"/>
  <c r="CT83" i="18"/>
  <c r="DC83" i="18"/>
  <c r="CZ83" i="18"/>
  <c r="CF83" i="18"/>
  <c r="BP83" i="18"/>
  <c r="AZ83" i="18"/>
  <c r="DI83" i="18"/>
  <c r="CS83" i="18"/>
  <c r="CC83" i="18"/>
  <c r="BM83" i="18"/>
  <c r="AW83" i="18"/>
  <c r="DF83" i="18"/>
  <c r="CP83" i="18"/>
  <c r="BZ83" i="18"/>
  <c r="BJ83" i="18"/>
  <c r="AT83" i="18"/>
  <c r="CY83" i="18"/>
  <c r="CI83" i="18"/>
  <c r="BS83" i="18"/>
  <c r="BC83" i="18"/>
  <c r="DD83" i="18"/>
  <c r="BT83" i="18"/>
  <c r="CW83" i="18"/>
  <c r="BA83" i="18"/>
  <c r="CD83" i="18"/>
  <c r="AX83" i="18"/>
  <c r="BW83" i="18"/>
  <c r="AC104" i="18"/>
  <c r="AS104" i="18"/>
  <c r="BI104" i="18"/>
  <c r="BY104" i="18"/>
  <c r="CO104" i="18"/>
  <c r="DE104" i="18"/>
  <c r="DU104" i="18"/>
  <c r="AF104" i="18"/>
  <c r="AV104" i="18"/>
  <c r="BL104" i="18"/>
  <c r="CB104" i="18"/>
  <c r="CR104" i="18"/>
  <c r="DH104" i="18"/>
  <c r="S104" i="18"/>
  <c r="AI104" i="18"/>
  <c r="AY104" i="18"/>
  <c r="BO104" i="18"/>
  <c r="CE104" i="18"/>
  <c r="CU104" i="18"/>
  <c r="DK104" i="18"/>
  <c r="V104" i="18"/>
  <c r="AL104" i="18"/>
  <c r="BB104" i="18"/>
  <c r="BR104" i="18"/>
  <c r="CH104" i="18"/>
  <c r="CX104" i="18"/>
  <c r="DN104" i="18"/>
  <c r="Y104" i="18"/>
  <c r="AO104" i="18"/>
  <c r="BE104" i="18"/>
  <c r="BU104" i="18"/>
  <c r="CK104" i="18"/>
  <c r="DA104" i="18"/>
  <c r="DQ104" i="18"/>
  <c r="AB104" i="18"/>
  <c r="AR104" i="18"/>
  <c r="BH104" i="18"/>
  <c r="BX104" i="18"/>
  <c r="CN104" i="18"/>
  <c r="DD104" i="18"/>
  <c r="DT104" i="18"/>
  <c r="AE104" i="18"/>
  <c r="AU104" i="18"/>
  <c r="BK104" i="18"/>
  <c r="CA104" i="18"/>
  <c r="CQ104" i="18"/>
  <c r="DG104" i="18"/>
  <c r="R104" i="18"/>
  <c r="AH104" i="18"/>
  <c r="AX104" i="18"/>
  <c r="BN104" i="18"/>
  <c r="CD104" i="18"/>
  <c r="CT104" i="18"/>
  <c r="DJ104" i="18"/>
  <c r="U104" i="18"/>
  <c r="BA104" i="18"/>
  <c r="CG104" i="18"/>
  <c r="DM104" i="18"/>
  <c r="AN104" i="18"/>
  <c r="BT104" i="18"/>
  <c r="CZ104" i="18"/>
  <c r="AA104" i="18"/>
  <c r="BG104" i="18"/>
  <c r="CM104" i="18"/>
  <c r="DS104" i="18"/>
  <c r="AT104" i="18"/>
  <c r="BZ104" i="18"/>
  <c r="DF104" i="18"/>
  <c r="P104" i="18"/>
  <c r="Q104" i="18"/>
  <c r="AW104" i="18"/>
  <c r="CC104" i="18"/>
  <c r="DI104" i="18"/>
  <c r="AJ104" i="18"/>
  <c r="BP104" i="18"/>
  <c r="CV104" i="18"/>
  <c r="W104" i="18"/>
  <c r="BC104" i="18"/>
  <c r="CI104" i="18"/>
  <c r="DO104" i="18"/>
  <c r="AP104" i="18"/>
  <c r="BV104" i="18"/>
  <c r="DB104" i="18"/>
  <c r="AK104" i="18"/>
  <c r="BQ104" i="18"/>
  <c r="CW104" i="18"/>
  <c r="X104" i="18"/>
  <c r="BD104" i="18"/>
  <c r="CJ104" i="18"/>
  <c r="DP104" i="18"/>
  <c r="AQ104" i="18"/>
  <c r="BW104" i="18"/>
  <c r="DC104" i="18"/>
  <c r="AD104" i="18"/>
  <c r="BJ104" i="18"/>
  <c r="CP104" i="18"/>
  <c r="AG104" i="18"/>
  <c r="AZ104" i="18"/>
  <c r="BS104" i="18"/>
  <c r="CL104" i="18"/>
  <c r="CF104" i="18"/>
  <c r="DR104" i="18"/>
  <c r="T104" i="18"/>
  <c r="AM104" i="18"/>
  <c r="BF104" i="18"/>
  <c r="CS104" i="18"/>
  <c r="DL104" i="18"/>
  <c r="Z104" i="18"/>
  <c r="BM104" i="18"/>
  <c r="CY104" i="18"/>
  <c r="Q113" i="18"/>
  <c r="CG113" i="18"/>
  <c r="BM113" i="18"/>
  <c r="BQ113" i="18"/>
  <c r="DI113" i="18"/>
  <c r="T113" i="18"/>
  <c r="AJ113" i="18"/>
  <c r="AZ113" i="18"/>
  <c r="BP113" i="18"/>
  <c r="CF113" i="18"/>
  <c r="CV113" i="18"/>
  <c r="DL113" i="18"/>
  <c r="S113" i="18"/>
  <c r="AI113" i="18"/>
  <c r="AY113" i="18"/>
  <c r="BO113" i="18"/>
  <c r="CE113" i="18"/>
  <c r="CU113" i="18"/>
  <c r="DK113" i="18"/>
  <c r="Z113" i="18"/>
  <c r="BF113" i="18"/>
  <c r="CL113" i="18"/>
  <c r="DR113" i="18"/>
  <c r="AT113" i="18"/>
  <c r="BZ113" i="18"/>
  <c r="DF113" i="18"/>
  <c r="DM113" i="18"/>
  <c r="CS113" i="18"/>
  <c r="CW113" i="18"/>
  <c r="AW113" i="18"/>
  <c r="X113" i="18"/>
  <c r="AR113" i="18"/>
  <c r="BL113" i="18"/>
  <c r="CJ113" i="18"/>
  <c r="DD113" i="18"/>
  <c r="P113" i="18"/>
  <c r="AM113" i="18"/>
  <c r="BG113" i="18"/>
  <c r="CA113" i="18"/>
  <c r="CY113" i="18"/>
  <c r="DS113" i="18"/>
  <c r="AX113" i="18"/>
  <c r="CT113" i="18"/>
  <c r="AD113" i="18"/>
  <c r="BR113" i="18"/>
  <c r="DN113" i="18"/>
  <c r="AG113" i="18"/>
  <c r="AK113" i="18"/>
  <c r="CC113" i="18"/>
  <c r="AN113" i="18"/>
  <c r="BH113" i="18"/>
  <c r="CB113" i="18"/>
  <c r="CZ113" i="18"/>
  <c r="DT113" i="18"/>
  <c r="AE113" i="18"/>
  <c r="BC113" i="18"/>
  <c r="BW113" i="18"/>
  <c r="CQ113" i="18"/>
  <c r="DO113" i="18"/>
  <c r="AP113" i="18"/>
  <c r="CD113" i="18"/>
  <c r="V113" i="18"/>
  <c r="BJ113" i="18"/>
  <c r="CX113" i="18"/>
  <c r="AF113" i="18"/>
  <c r="BX113" i="18"/>
  <c r="DP113" i="18"/>
  <c r="AU113" i="18"/>
  <c r="CM113" i="18"/>
  <c r="AH113" i="18"/>
  <c r="DJ113" i="18"/>
  <c r="CP113" i="18"/>
  <c r="DA113" i="18"/>
  <c r="AO113" i="18"/>
  <c r="BY113" i="18"/>
  <c r="AB113" i="18"/>
  <c r="BT113" i="18"/>
  <c r="DH113" i="18"/>
  <c r="AQ113" i="18"/>
  <c r="CI113" i="18"/>
  <c r="R113" i="18"/>
  <c r="DB113" i="18"/>
  <c r="CH113" i="18"/>
  <c r="DQ113" i="18"/>
  <c r="BE113" i="18"/>
  <c r="CR113" i="18"/>
  <c r="BS113" i="18"/>
  <c r="BV113" i="18"/>
  <c r="BU113" i="18"/>
  <c r="CO113" i="18"/>
  <c r="CN113" i="18"/>
  <c r="BK113" i="18"/>
  <c r="BN113" i="18"/>
  <c r="CK113" i="18"/>
  <c r="U113" i="18"/>
  <c r="BD113" i="18"/>
  <c r="AA113" i="18"/>
  <c r="DG113" i="18"/>
  <c r="BB113" i="18"/>
  <c r="BA113" i="18"/>
  <c r="AL113" i="18"/>
  <c r="BI113" i="18"/>
  <c r="DE113" i="18"/>
  <c r="AS113" i="18"/>
  <c r="DC113" i="18"/>
  <c r="W113" i="18"/>
  <c r="Y113" i="18"/>
  <c r="DU113" i="18"/>
  <c r="AC113" i="18"/>
  <c r="AV113" i="18"/>
  <c r="AB114" i="18"/>
  <c r="CZ114" i="18"/>
  <c r="CF114" i="18"/>
  <c r="CJ114" i="18"/>
  <c r="DL114" i="18"/>
  <c r="DP114" i="18"/>
  <c r="AJ114" i="18"/>
  <c r="AN114" i="18"/>
  <c r="BT114" i="18"/>
  <c r="X114" i="18"/>
  <c r="BP114" i="18"/>
  <c r="BX114" i="18"/>
  <c r="S114" i="18"/>
  <c r="AI114" i="18"/>
  <c r="AY114" i="18"/>
  <c r="BO114" i="18"/>
  <c r="CE114" i="18"/>
  <c r="CU114" i="18"/>
  <c r="DK114" i="18"/>
  <c r="V114" i="18"/>
  <c r="AL114" i="18"/>
  <c r="BB114" i="18"/>
  <c r="BR114" i="18"/>
  <c r="CH114" i="18"/>
  <c r="CX114" i="18"/>
  <c r="DN114" i="18"/>
  <c r="AC114" i="18"/>
  <c r="BI114" i="18"/>
  <c r="CO114" i="18"/>
  <c r="DU114" i="18"/>
  <c r="AO114" i="18"/>
  <c r="BU114" i="18"/>
  <c r="DA114" i="18"/>
  <c r="CR114" i="18"/>
  <c r="AF114" i="18"/>
  <c r="BD114" i="18"/>
  <c r="CV114" i="18"/>
  <c r="CN114" i="18"/>
  <c r="AE114" i="18"/>
  <c r="AU114" i="18"/>
  <c r="BK114" i="18"/>
  <c r="CA114" i="18"/>
  <c r="CQ114" i="18"/>
  <c r="DG114" i="18"/>
  <c r="R114" i="18"/>
  <c r="AH114" i="18"/>
  <c r="AX114" i="18"/>
  <c r="BN114" i="18"/>
  <c r="CD114" i="18"/>
  <c r="CT114" i="18"/>
  <c r="DJ114" i="18"/>
  <c r="U114" i="18"/>
  <c r="BA114" i="18"/>
  <c r="CG114" i="18"/>
  <c r="DM114" i="18"/>
  <c r="AG114" i="18"/>
  <c r="BM114" i="18"/>
  <c r="CS114" i="18"/>
  <c r="T114" i="18"/>
  <c r="DD114" i="18"/>
  <c r="AA114" i="18"/>
  <c r="BG114" i="18"/>
  <c r="CM114" i="18"/>
  <c r="DS114" i="18"/>
  <c r="AT114" i="18"/>
  <c r="BZ114" i="18"/>
  <c r="DF114" i="18"/>
  <c r="AS114" i="18"/>
  <c r="DE114" i="18"/>
  <c r="BE114" i="18"/>
  <c r="DQ114" i="18"/>
  <c r="BL114" i="18"/>
  <c r="AZ114" i="18"/>
  <c r="DT114" i="18"/>
  <c r="W114" i="18"/>
  <c r="BC114" i="18"/>
  <c r="CI114" i="18"/>
  <c r="DO114" i="18"/>
  <c r="AP114" i="18"/>
  <c r="BV114" i="18"/>
  <c r="DB114" i="18"/>
  <c r="AK114" i="18"/>
  <c r="CW114" i="18"/>
  <c r="AW114" i="18"/>
  <c r="DI114" i="18"/>
  <c r="AR114" i="18"/>
  <c r="AQ114" i="18"/>
  <c r="BW114" i="18"/>
  <c r="DC114" i="18"/>
  <c r="AD114" i="18"/>
  <c r="BJ114" i="18"/>
  <c r="CP114" i="18"/>
  <c r="P114" i="18"/>
  <c r="BY114" i="18"/>
  <c r="Y114" i="18"/>
  <c r="CK114" i="18"/>
  <c r="BS114" i="18"/>
  <c r="CL114" i="18"/>
  <c r="CC114" i="18"/>
  <c r="CB114" i="18"/>
  <c r="DR114" i="18"/>
  <c r="AM114" i="18"/>
  <c r="BF114" i="18"/>
  <c r="Q114" i="18"/>
  <c r="DH114" i="18"/>
  <c r="Z114" i="18"/>
  <c r="BQ114" i="18"/>
  <c r="BH114" i="18"/>
  <c r="CY114" i="18"/>
  <c r="AV114" i="18"/>
  <c r="X98" i="18"/>
  <c r="BZ98" i="18"/>
  <c r="BP98" i="18"/>
  <c r="BR98" i="18"/>
  <c r="DT98" i="18"/>
  <c r="BH98" i="18"/>
  <c r="CP98" i="18"/>
  <c r="AD98" i="18"/>
  <c r="CF98" i="18"/>
  <c r="T98" i="18"/>
  <c r="CH98" i="18"/>
  <c r="V98" i="18"/>
  <c r="BX98" i="18"/>
  <c r="AT98" i="18"/>
  <c r="CV98" i="18"/>
  <c r="CX98" i="18"/>
  <c r="AB98" i="18"/>
  <c r="BJ98" i="18"/>
  <c r="DL98" i="18"/>
  <c r="DN98" i="18"/>
  <c r="AR98" i="18"/>
  <c r="DF98" i="18"/>
  <c r="AL98" i="18"/>
  <c r="CN98" i="18"/>
  <c r="CR98" i="18"/>
  <c r="BL98" i="18"/>
  <c r="AF98" i="18"/>
  <c r="Y98" i="18"/>
  <c r="AO98" i="18"/>
  <c r="BE98" i="18"/>
  <c r="BU98" i="18"/>
  <c r="CK98" i="18"/>
  <c r="DA98" i="18"/>
  <c r="DQ98" i="18"/>
  <c r="AA98" i="18"/>
  <c r="AQ98" i="18"/>
  <c r="BG98" i="18"/>
  <c r="BW98" i="18"/>
  <c r="CM98" i="18"/>
  <c r="DC98" i="18"/>
  <c r="DS98" i="18"/>
  <c r="DR98" i="18"/>
  <c r="CL98" i="18"/>
  <c r="BF98" i="18"/>
  <c r="Z98" i="18"/>
  <c r="P98" i="18"/>
  <c r="BB98" i="18"/>
  <c r="DD98" i="18"/>
  <c r="CZ98" i="18"/>
  <c r="BT98" i="18"/>
  <c r="AN98" i="18"/>
  <c r="DH98" i="18"/>
  <c r="AV98" i="18"/>
  <c r="AG98" i="18"/>
  <c r="BA98" i="18"/>
  <c r="BY98" i="18"/>
  <c r="CS98" i="18"/>
  <c r="DM98" i="18"/>
  <c r="AE98" i="18"/>
  <c r="AY98" i="18"/>
  <c r="BS98" i="18"/>
  <c r="CQ98" i="18"/>
  <c r="DK98" i="18"/>
  <c r="DJ98" i="18"/>
  <c r="BV98" i="18"/>
  <c r="AH98" i="18"/>
  <c r="DP98" i="18"/>
  <c r="BD98" i="18"/>
  <c r="AJ98" i="18"/>
  <c r="CB98" i="18"/>
  <c r="U98" i="18"/>
  <c r="AS98" i="18"/>
  <c r="BM98" i="18"/>
  <c r="CG98" i="18"/>
  <c r="DE98" i="18"/>
  <c r="S98" i="18"/>
  <c r="AM98" i="18"/>
  <c r="BK98" i="18"/>
  <c r="CE98" i="18"/>
  <c r="CY98" i="18"/>
  <c r="AK98" i="18"/>
  <c r="CC98" i="18"/>
  <c r="DU98" i="18"/>
  <c r="BC98" i="18"/>
  <c r="CU98" i="18"/>
  <c r="CD98" i="18"/>
  <c r="R98" i="18"/>
  <c r="CO98" i="18"/>
  <c r="BO98" i="18"/>
  <c r="AC98" i="18"/>
  <c r="BQ98" i="18"/>
  <c r="DI98" i="18"/>
  <c r="AU98" i="18"/>
  <c r="CI98" i="18"/>
  <c r="CT98" i="18"/>
  <c r="AP98" i="18"/>
  <c r="Q98" i="18"/>
  <c r="BI98" i="18"/>
  <c r="CW98" i="18"/>
  <c r="AI98" i="18"/>
  <c r="CA98" i="18"/>
  <c r="DO98" i="18"/>
  <c r="DB98" i="18"/>
  <c r="AX98" i="18"/>
  <c r="AZ98" i="18"/>
  <c r="CJ98" i="18"/>
  <c r="AW98" i="18"/>
  <c r="W98" i="18"/>
  <c r="DG98" i="18"/>
  <c r="BN98" i="18"/>
  <c r="B13" i="42"/>
  <c r="R119" i="18"/>
  <c r="Z119" i="18"/>
  <c r="AH119" i="18"/>
  <c r="AP119" i="18"/>
  <c r="AX119" i="18"/>
  <c r="BF119" i="18"/>
  <c r="BN119" i="18"/>
  <c r="BV119" i="18"/>
  <c r="CD119" i="18"/>
  <c r="CL119" i="18"/>
  <c r="CT119" i="18"/>
  <c r="DB119" i="18"/>
  <c r="T119" i="18"/>
  <c r="AJ119" i="18"/>
  <c r="AZ119" i="18"/>
  <c r="BP119" i="18"/>
  <c r="CF119" i="18"/>
  <c r="CV119" i="18"/>
  <c r="BM119" i="18"/>
  <c r="S119" i="18"/>
  <c r="AA119" i="18"/>
  <c r="AI119" i="18"/>
  <c r="AQ119" i="18"/>
  <c r="AY119" i="18"/>
  <c r="BG119" i="18"/>
  <c r="BO119" i="18"/>
  <c r="BW119" i="18"/>
  <c r="CE119" i="18"/>
  <c r="CM119" i="18"/>
  <c r="CU119" i="18"/>
  <c r="DC119" i="18"/>
  <c r="AB119" i="18"/>
  <c r="AR119" i="18"/>
  <c r="BH119" i="18"/>
  <c r="BX119" i="18"/>
  <c r="CN119" i="18"/>
  <c r="DD119" i="18"/>
  <c r="AG119" i="18"/>
  <c r="U119" i="18"/>
  <c r="AC119" i="18"/>
  <c r="AK119" i="18"/>
  <c r="AS119" i="18"/>
  <c r="BA119" i="18"/>
  <c r="BI119" i="18"/>
  <c r="BQ119" i="18"/>
  <c r="BY119" i="18"/>
  <c r="CG119" i="18"/>
  <c r="CO119" i="18"/>
  <c r="CW119" i="18"/>
  <c r="DE119" i="18"/>
  <c r="AN119" i="18"/>
  <c r="BD119" i="18"/>
  <c r="CB119" i="18"/>
  <c r="CZ119" i="18"/>
  <c r="Q119" i="18"/>
  <c r="AW119" i="18"/>
  <c r="BU119" i="18"/>
  <c r="CS119" i="18"/>
  <c r="V119" i="18"/>
  <c r="AD119" i="18"/>
  <c r="AL119" i="18"/>
  <c r="AT119" i="18"/>
  <c r="BB119" i="18"/>
  <c r="BJ119" i="18"/>
  <c r="BR119" i="18"/>
  <c r="BZ119" i="18"/>
  <c r="CH119" i="18"/>
  <c r="CP119" i="18"/>
  <c r="CX119" i="18"/>
  <c r="DF119" i="18"/>
  <c r="X119" i="18"/>
  <c r="AV119" i="18"/>
  <c r="BT119" i="18"/>
  <c r="CR119" i="18"/>
  <c r="Y119" i="18"/>
  <c r="BE119" i="18"/>
  <c r="CK119" i="18"/>
  <c r="DI119" i="18"/>
  <c r="W119" i="18"/>
  <c r="AE119" i="18"/>
  <c r="AM119" i="18"/>
  <c r="AU119" i="18"/>
  <c r="BC119" i="18"/>
  <c r="BK119" i="18"/>
  <c r="BS119" i="18"/>
  <c r="CA119" i="18"/>
  <c r="CI119" i="18"/>
  <c r="CQ119" i="18"/>
  <c r="CY119" i="18"/>
  <c r="DG119" i="18"/>
  <c r="AF119" i="18"/>
  <c r="BL119" i="18"/>
  <c r="CJ119" i="18"/>
  <c r="DH119" i="18"/>
  <c r="AO119" i="18"/>
  <c r="CC119" i="18"/>
  <c r="DA119" i="18"/>
  <c r="B9" i="16"/>
  <c r="C91" i="18"/>
  <c r="DI92" i="18"/>
  <c r="CW92" i="18"/>
  <c r="CT92" i="18"/>
  <c r="BN92" i="18"/>
  <c r="AH92" i="18"/>
  <c r="CM92" i="18"/>
  <c r="CQ92" i="18"/>
  <c r="AU92" i="18"/>
  <c r="DH92" i="18"/>
  <c r="CB92" i="18"/>
  <c r="AV92" i="18"/>
  <c r="CP92" i="18"/>
  <c r="BJ92" i="18"/>
  <c r="AD92" i="18"/>
  <c r="CI92" i="18"/>
  <c r="DD92" i="18"/>
  <c r="AR92" i="18"/>
  <c r="BU92" i="18"/>
  <c r="AW92" i="18"/>
  <c r="AK92" i="18"/>
  <c r="CD92" i="18"/>
  <c r="AQ92" i="18"/>
  <c r="BS92" i="18"/>
  <c r="BL92" i="18"/>
  <c r="AP92" i="18"/>
  <c r="BG92" i="18"/>
  <c r="X92" i="18"/>
  <c r="BR92" i="18"/>
  <c r="CY92" i="18"/>
  <c r="BC92" i="18"/>
  <c r="AZ92" i="18"/>
  <c r="CS92" i="18"/>
  <c r="CG92" i="18"/>
  <c r="CA92" i="18"/>
  <c r="AM92" i="18"/>
  <c r="BX92" i="18"/>
  <c r="BY92" i="18"/>
  <c r="AX92" i="18"/>
  <c r="S92" i="18"/>
  <c r="AC92" i="18"/>
  <c r="CU92" i="18"/>
  <c r="DA92" i="18"/>
  <c r="DE92" i="18"/>
  <c r="CC92" i="18"/>
  <c r="BQ92" i="18"/>
  <c r="CL92" i="18"/>
  <c r="BF92" i="18"/>
  <c r="Z92" i="18"/>
  <c r="BO92" i="18"/>
  <c r="CE92" i="18"/>
  <c r="AE92" i="18"/>
  <c r="CZ92" i="18"/>
  <c r="BT92" i="18"/>
  <c r="AN92" i="18"/>
  <c r="CK92" i="18"/>
  <c r="BM92" i="18"/>
  <c r="BB92" i="18"/>
  <c r="V92" i="18"/>
  <c r="AA92" i="18"/>
  <c r="CV92" i="18"/>
  <c r="AJ92" i="18"/>
  <c r="R92" i="18"/>
  <c r="CR92" i="18"/>
  <c r="AF92" i="18"/>
  <c r="BD92" i="18"/>
  <c r="Y92" i="18"/>
  <c r="CX92" i="18"/>
  <c r="AL92" i="18"/>
  <c r="T92" i="18"/>
  <c r="CO92" i="18"/>
  <c r="BA92" i="18"/>
  <c r="CH92" i="18"/>
  <c r="AY92" i="18"/>
  <c r="BW92" i="18"/>
  <c r="BP92" i="18"/>
  <c r="AO92" i="18"/>
  <c r="BV92" i="18"/>
  <c r="W92" i="18"/>
  <c r="BE92" i="18"/>
  <c r="BI92" i="18"/>
  <c r="AG92" i="18"/>
  <c r="U92" i="18"/>
  <c r="DF92" i="18"/>
  <c r="BZ92" i="18"/>
  <c r="AT92" i="18"/>
  <c r="AI92" i="18"/>
  <c r="DG92" i="18"/>
  <c r="BK92" i="18"/>
  <c r="CN92" i="18"/>
  <c r="BH92" i="18"/>
  <c r="AB92" i="18"/>
  <c r="AS92" i="18"/>
  <c r="DB92" i="18"/>
  <c r="DC92" i="18"/>
  <c r="CJ92" i="18"/>
  <c r="CF92" i="18"/>
  <c r="Q120" i="18"/>
  <c r="W120" i="18"/>
  <c r="AE120" i="18"/>
  <c r="AM120" i="18"/>
  <c r="AU120" i="18"/>
  <c r="BC120" i="18"/>
  <c r="BK120" i="18"/>
  <c r="BS120" i="18"/>
  <c r="CA120" i="18"/>
  <c r="CI120" i="18"/>
  <c r="CQ120" i="18"/>
  <c r="CY120" i="18"/>
  <c r="DG120" i="18"/>
  <c r="AG120" i="18"/>
  <c r="AW120" i="18"/>
  <c r="BM120" i="18"/>
  <c r="CC120" i="18"/>
  <c r="CS120" i="18"/>
  <c r="DI120" i="18"/>
  <c r="X120" i="18"/>
  <c r="AF120" i="18"/>
  <c r="AN120" i="18"/>
  <c r="AV120" i="18"/>
  <c r="BD120" i="18"/>
  <c r="BL120" i="18"/>
  <c r="BT120" i="18"/>
  <c r="CB120" i="18"/>
  <c r="CJ120" i="18"/>
  <c r="CR120" i="18"/>
  <c r="CZ120" i="18"/>
  <c r="DH120" i="18"/>
  <c r="Y120" i="18"/>
  <c r="AO120" i="18"/>
  <c r="BE120" i="18"/>
  <c r="BU120" i="18"/>
  <c r="CK120" i="18"/>
  <c r="DA120" i="18"/>
  <c r="R120" i="18"/>
  <c r="Z120" i="18"/>
  <c r="AH120" i="18"/>
  <c r="AP120" i="18"/>
  <c r="AX120" i="18"/>
  <c r="BF120" i="18"/>
  <c r="BN120" i="18"/>
  <c r="BV120" i="18"/>
  <c r="CD120" i="18"/>
  <c r="CL120" i="18"/>
  <c r="CT120" i="18"/>
  <c r="DB120" i="18"/>
  <c r="BA120" i="18"/>
  <c r="BY120" i="18"/>
  <c r="CW120" i="18"/>
  <c r="V120" i="18"/>
  <c r="AL120" i="18"/>
  <c r="BB120" i="18"/>
  <c r="BZ120" i="18"/>
  <c r="CX120" i="18"/>
  <c r="S120" i="18"/>
  <c r="AA120" i="18"/>
  <c r="AI120" i="18"/>
  <c r="AQ120" i="18"/>
  <c r="AY120" i="18"/>
  <c r="BG120" i="18"/>
  <c r="BO120" i="18"/>
  <c r="BW120" i="18"/>
  <c r="CE120" i="18"/>
  <c r="CM120" i="18"/>
  <c r="CU120" i="18"/>
  <c r="DC120" i="18"/>
  <c r="AC120" i="18"/>
  <c r="AS120" i="18"/>
  <c r="BQ120" i="18"/>
  <c r="CO120" i="18"/>
  <c r="AT120" i="18"/>
  <c r="BR120" i="18"/>
  <c r="CH120" i="18"/>
  <c r="DF120" i="18"/>
  <c r="T120" i="18"/>
  <c r="AB120" i="18"/>
  <c r="AJ120" i="18"/>
  <c r="AR120" i="18"/>
  <c r="AZ120" i="18"/>
  <c r="BH120" i="18"/>
  <c r="BP120" i="18"/>
  <c r="BX120" i="18"/>
  <c r="CF120" i="18"/>
  <c r="CN120" i="18"/>
  <c r="CV120" i="18"/>
  <c r="DD120" i="18"/>
  <c r="U120" i="18"/>
  <c r="AK120" i="18"/>
  <c r="BI120" i="18"/>
  <c r="CG120" i="18"/>
  <c r="DE120" i="18"/>
  <c r="AD120" i="18"/>
  <c r="BJ120" i="18"/>
  <c r="CP120" i="18"/>
  <c r="F58" i="5"/>
  <c r="AP76" i="18"/>
  <c r="BF93" i="18"/>
  <c r="CL93" i="18"/>
  <c r="DH93" i="18"/>
  <c r="AX93" i="18"/>
  <c r="BL93" i="18"/>
  <c r="BT93" i="18"/>
  <c r="CY93" i="18"/>
  <c r="W93" i="18"/>
  <c r="DF93" i="18"/>
  <c r="BZ93" i="18"/>
  <c r="AT93" i="18"/>
  <c r="CO93" i="18"/>
  <c r="AK93" i="18"/>
  <c r="BQ93" i="18"/>
  <c r="BC93" i="18"/>
  <c r="CW93" i="18"/>
  <c r="CV93" i="18"/>
  <c r="BP93" i="18"/>
  <c r="AJ93" i="18"/>
  <c r="CM93" i="18"/>
  <c r="BG93" i="18"/>
  <c r="BE93" i="18"/>
  <c r="Y93" i="18"/>
  <c r="BV93" i="18"/>
  <c r="AF93" i="18"/>
  <c r="BN93" i="18"/>
  <c r="CR93" i="18"/>
  <c r="CJ93" i="18"/>
  <c r="X93" i="18"/>
  <c r="AU93" i="18"/>
  <c r="CH93" i="18"/>
  <c r="BB93" i="18"/>
  <c r="V93" i="18"/>
  <c r="BA93" i="18"/>
  <c r="CG93" i="18"/>
  <c r="BS93" i="18"/>
  <c r="DD93" i="18"/>
  <c r="BX93" i="18"/>
  <c r="AR93" i="18"/>
  <c r="CU93" i="18"/>
  <c r="BO93" i="18"/>
  <c r="AI93" i="18"/>
  <c r="CS93" i="18"/>
  <c r="BM93" i="18"/>
  <c r="AG93" i="18"/>
  <c r="Z93" i="18"/>
  <c r="AP93" i="18"/>
  <c r="AV93" i="18"/>
  <c r="CD93" i="18"/>
  <c r="R93" i="18"/>
  <c r="CZ93" i="18"/>
  <c r="AN93" i="18"/>
  <c r="BK93" i="18"/>
  <c r="CP93" i="18"/>
  <c r="BJ93" i="18"/>
  <c r="AD93" i="18"/>
  <c r="BI93" i="18"/>
  <c r="AM93" i="18"/>
  <c r="DE93" i="18"/>
  <c r="U93" i="18"/>
  <c r="CQ93" i="18"/>
  <c r="CF93" i="18"/>
  <c r="AZ93" i="18"/>
  <c r="T93" i="18"/>
  <c r="DC93" i="18"/>
  <c r="BW93" i="18"/>
  <c r="AQ93" i="18"/>
  <c r="DA93" i="18"/>
  <c r="BU93" i="18"/>
  <c r="AO93" i="18"/>
  <c r="DB93" i="18"/>
  <c r="CB93" i="18"/>
  <c r="CT93" i="18"/>
  <c r="AH93" i="18"/>
  <c r="BD93" i="18"/>
  <c r="CI93" i="18"/>
  <c r="CX93" i="18"/>
  <c r="BR93" i="18"/>
  <c r="AL93" i="18"/>
  <c r="BY93" i="18"/>
  <c r="AC93" i="18"/>
  <c r="CA93" i="18"/>
  <c r="AS93" i="18"/>
  <c r="DG93" i="18"/>
  <c r="AE93" i="18"/>
  <c r="CN93" i="18"/>
  <c r="BH93" i="18"/>
  <c r="AB93" i="18"/>
  <c r="CE93" i="18"/>
  <c r="AY93" i="18"/>
  <c r="S93" i="18"/>
  <c r="DI93" i="18"/>
  <c r="CC93" i="18"/>
  <c r="AW93" i="18"/>
  <c r="AA93" i="18"/>
  <c r="CK93" i="18"/>
  <c r="F123" i="18" l="1"/>
  <c r="F125" i="18" s="1"/>
  <c r="M123" i="18"/>
  <c r="M125" i="18" s="1"/>
  <c r="L123" i="18"/>
  <c r="L125" i="18" s="1"/>
  <c r="G123" i="18"/>
  <c r="G125" i="18" s="1"/>
  <c r="J123" i="18"/>
  <c r="J125" i="18" s="1"/>
  <c r="O123" i="18"/>
  <c r="O125" i="18" s="1"/>
  <c r="AO88" i="18"/>
  <c r="AZ89" i="18"/>
  <c r="BA89" i="18" s="1"/>
  <c r="BB89" i="18" s="1"/>
  <c r="BC89" i="18" s="1"/>
  <c r="BD89" i="18" s="1"/>
  <c r="BE89" i="18" s="1"/>
  <c r="BF89" i="18" s="1"/>
  <c r="BG89" i="18" s="1"/>
  <c r="BH89" i="18" s="1"/>
  <c r="BI89" i="18" s="1"/>
  <c r="BJ89" i="18" s="1"/>
  <c r="BK89" i="18" s="1"/>
  <c r="BL89" i="18" s="1"/>
  <c r="BM89" i="18" s="1"/>
  <c r="BN89" i="18" s="1"/>
  <c r="BO89" i="18" s="1"/>
  <c r="BP89" i="18" s="1"/>
  <c r="BQ89" i="18" s="1"/>
  <c r="BR89" i="18" s="1"/>
  <c r="BS89" i="18" s="1"/>
  <c r="BT89" i="18" s="1"/>
  <c r="BU89" i="18" s="1"/>
  <c r="BV89" i="18" s="1"/>
  <c r="BW89" i="18" s="1"/>
  <c r="BX89" i="18" s="1"/>
  <c r="BY89" i="18" s="1"/>
  <c r="BZ89" i="18" s="1"/>
  <c r="CA89" i="18" s="1"/>
  <c r="CB89" i="18" s="1"/>
  <c r="CC89" i="18" s="1"/>
  <c r="CD89" i="18" s="1"/>
  <c r="CE89" i="18" s="1"/>
  <c r="CF89" i="18" s="1"/>
  <c r="CG89" i="18" s="1"/>
  <c r="CH89" i="18" s="1"/>
  <c r="CI89" i="18" s="1"/>
  <c r="CJ89" i="18" s="1"/>
  <c r="CK89" i="18" s="1"/>
  <c r="CL89" i="18" s="1"/>
  <c r="CM89" i="18" s="1"/>
  <c r="CN89" i="18" s="1"/>
  <c r="CO89" i="18" s="1"/>
  <c r="CP89" i="18" s="1"/>
  <c r="CQ89" i="18" s="1"/>
  <c r="CR89" i="18" s="1"/>
  <c r="CS89" i="18" s="1"/>
  <c r="CT89" i="18" s="1"/>
  <c r="CU89" i="18" s="1"/>
  <c r="CV89" i="18" s="1"/>
  <c r="CW89" i="18" s="1"/>
  <c r="CX89" i="18" s="1"/>
  <c r="CY89" i="18" s="1"/>
  <c r="CZ89" i="18" s="1"/>
  <c r="DA89" i="18" s="1"/>
  <c r="DB89" i="18" s="1"/>
  <c r="DC89" i="18" s="1"/>
  <c r="DD89" i="18" s="1"/>
  <c r="DE89" i="18" s="1"/>
  <c r="DF89" i="18" s="1"/>
  <c r="DG89" i="18" s="1"/>
  <c r="DH89" i="18" s="1"/>
  <c r="DI89" i="18" s="1"/>
  <c r="DJ89" i="18" s="1"/>
  <c r="DK89" i="18" s="1"/>
  <c r="DL89" i="18" s="1"/>
  <c r="DM89" i="18" s="1"/>
  <c r="DN89" i="18" s="1"/>
  <c r="DO89" i="18" s="1"/>
  <c r="DP89" i="18" s="1"/>
  <c r="DQ89" i="18" s="1"/>
  <c r="DR89" i="18" s="1"/>
  <c r="DS89" i="18" s="1"/>
  <c r="DT89" i="18" s="1"/>
  <c r="DU89" i="18" s="1"/>
  <c r="DK123" i="18"/>
  <c r="AC87" i="18"/>
  <c r="AD87" i="18" s="1"/>
  <c r="AE87" i="18" s="1"/>
  <c r="AF87" i="18" s="1"/>
  <c r="AG87" i="18" s="1"/>
  <c r="AH87" i="18" s="1"/>
  <c r="AI87" i="18" s="1"/>
  <c r="AJ87" i="18" s="1"/>
  <c r="AK87" i="18" s="1"/>
  <c r="AL87" i="18" s="1"/>
  <c r="AM87" i="18" s="1"/>
  <c r="AN87" i="18" s="1"/>
  <c r="AO87" i="18" s="1"/>
  <c r="AP87" i="18" s="1"/>
  <c r="AQ87" i="18" s="1"/>
  <c r="AR87" i="18" s="1"/>
  <c r="AS87" i="18" s="1"/>
  <c r="AT87" i="18" s="1"/>
  <c r="AU87" i="18" s="1"/>
  <c r="AV87" i="18" s="1"/>
  <c r="AW87" i="18" s="1"/>
  <c r="AX87" i="18" s="1"/>
  <c r="AY87" i="18" s="1"/>
  <c r="AZ87" i="18" s="1"/>
  <c r="BA87" i="18" s="1"/>
  <c r="BB87" i="18" s="1"/>
  <c r="BC87" i="18" s="1"/>
  <c r="BD87" i="18" s="1"/>
  <c r="BE87" i="18" s="1"/>
  <c r="BF87" i="18" s="1"/>
  <c r="BG87" i="18" s="1"/>
  <c r="BH87" i="18" s="1"/>
  <c r="BI87" i="18" s="1"/>
  <c r="BJ87" i="18" s="1"/>
  <c r="BK87" i="18" s="1"/>
  <c r="BL87" i="18" s="1"/>
  <c r="BM87" i="18" s="1"/>
  <c r="BN87" i="18" s="1"/>
  <c r="BO87" i="18" s="1"/>
  <c r="BP87" i="18" s="1"/>
  <c r="BQ87" i="18" s="1"/>
  <c r="BR87" i="18" s="1"/>
  <c r="BS87" i="18" s="1"/>
  <c r="BT87" i="18" s="1"/>
  <c r="BU87" i="18" s="1"/>
  <c r="BV87" i="18" s="1"/>
  <c r="BW87" i="18" s="1"/>
  <c r="BX87" i="18" s="1"/>
  <c r="BY87" i="18" s="1"/>
  <c r="BZ87" i="18" s="1"/>
  <c r="CA87" i="18" s="1"/>
  <c r="CB87" i="18" s="1"/>
  <c r="CC87" i="18" s="1"/>
  <c r="CD87" i="18" s="1"/>
  <c r="CE87" i="18" s="1"/>
  <c r="CF87" i="18" s="1"/>
  <c r="CG87" i="18" s="1"/>
  <c r="CH87" i="18" s="1"/>
  <c r="CI87" i="18" s="1"/>
  <c r="CJ87" i="18" s="1"/>
  <c r="CK87" i="18" s="1"/>
  <c r="CL87" i="18" s="1"/>
  <c r="CM87" i="18" s="1"/>
  <c r="CN87" i="18" s="1"/>
  <c r="CO87" i="18" s="1"/>
  <c r="CP87" i="18" s="1"/>
  <c r="CQ87" i="18" s="1"/>
  <c r="CR87" i="18" s="1"/>
  <c r="CS87" i="18" s="1"/>
  <c r="CT87" i="18" s="1"/>
  <c r="CU87" i="18" s="1"/>
  <c r="CV87" i="18" s="1"/>
  <c r="CW87" i="18" s="1"/>
  <c r="CX87" i="18" s="1"/>
  <c r="CY87" i="18" s="1"/>
  <c r="CZ87" i="18" s="1"/>
  <c r="DA87" i="18" s="1"/>
  <c r="DB87" i="18" s="1"/>
  <c r="DC87" i="18" s="1"/>
  <c r="DD87" i="18" s="1"/>
  <c r="DE87" i="18" s="1"/>
  <c r="DF87" i="18" s="1"/>
  <c r="DG87" i="18" s="1"/>
  <c r="DH87" i="18" s="1"/>
  <c r="DI87" i="18" s="1"/>
  <c r="DJ87" i="18" s="1"/>
  <c r="DK87" i="18" s="1"/>
  <c r="DL87" i="18" s="1"/>
  <c r="DM87" i="18" s="1"/>
  <c r="DN87" i="18" s="1"/>
  <c r="DO87" i="18" s="1"/>
  <c r="DP87" i="18" s="1"/>
  <c r="DQ87" i="18" s="1"/>
  <c r="DR87" i="18" s="1"/>
  <c r="DS87" i="18" s="1"/>
  <c r="DT87" i="18" s="1"/>
  <c r="DU87" i="18" s="1"/>
  <c r="DJ123" i="18"/>
  <c r="DU123" i="18"/>
  <c r="Q123" i="18"/>
  <c r="DM123" i="18"/>
  <c r="DQ123" i="18"/>
  <c r="DS123" i="18"/>
  <c r="P123" i="18"/>
  <c r="P125" i="18" s="1"/>
  <c r="DN123" i="18"/>
  <c r="K123" i="18"/>
  <c r="K125" i="18" s="1"/>
  <c r="AP88" i="18"/>
  <c r="AQ88" i="18" s="1"/>
  <c r="AR88" i="18" s="1"/>
  <c r="AS88" i="18" s="1"/>
  <c r="AT88" i="18" s="1"/>
  <c r="AU88" i="18" s="1"/>
  <c r="AV88" i="18" s="1"/>
  <c r="AW88" i="18" s="1"/>
  <c r="AX88" i="18" s="1"/>
  <c r="AY88" i="18" s="1"/>
  <c r="AZ88" i="18" s="1"/>
  <c r="BA88" i="18" s="1"/>
  <c r="BB88" i="18" s="1"/>
  <c r="BC88" i="18" s="1"/>
  <c r="BD88" i="18" s="1"/>
  <c r="BE88" i="18" s="1"/>
  <c r="BF88" i="18" s="1"/>
  <c r="BG88" i="18" s="1"/>
  <c r="BH88" i="18" s="1"/>
  <c r="BI88" i="18" s="1"/>
  <c r="BJ88" i="18" s="1"/>
  <c r="BK88" i="18" s="1"/>
  <c r="BL88" i="18" s="1"/>
  <c r="BM88" i="18" s="1"/>
  <c r="BN88" i="18" s="1"/>
  <c r="BO88" i="18" s="1"/>
  <c r="BP88" i="18" s="1"/>
  <c r="BQ88" i="18" s="1"/>
  <c r="BR88" i="18" s="1"/>
  <c r="BS88" i="18" s="1"/>
  <c r="BT88" i="18" s="1"/>
  <c r="BU88" i="18" s="1"/>
  <c r="BV88" i="18" s="1"/>
  <c r="BW88" i="18" s="1"/>
  <c r="BX88" i="18" s="1"/>
  <c r="BY88" i="18" s="1"/>
  <c r="BZ88" i="18" s="1"/>
  <c r="CA88" i="18" s="1"/>
  <c r="CB88" i="18" s="1"/>
  <c r="CC88" i="18" s="1"/>
  <c r="CD88" i="18" s="1"/>
  <c r="CE88" i="18" s="1"/>
  <c r="CF88" i="18" s="1"/>
  <c r="CG88" i="18" s="1"/>
  <c r="CH88" i="18" s="1"/>
  <c r="CI88" i="18" s="1"/>
  <c r="CJ88" i="18" s="1"/>
  <c r="CK88" i="18" s="1"/>
  <c r="CL88" i="18" s="1"/>
  <c r="CM88" i="18" s="1"/>
  <c r="CN88" i="18" s="1"/>
  <c r="CO88" i="18" s="1"/>
  <c r="CP88" i="18" s="1"/>
  <c r="CQ88" i="18" s="1"/>
  <c r="CR88" i="18" s="1"/>
  <c r="CS88" i="18" s="1"/>
  <c r="CT88" i="18" s="1"/>
  <c r="CU88" i="18" s="1"/>
  <c r="CV88" i="18" s="1"/>
  <c r="CW88" i="18" s="1"/>
  <c r="CX88" i="18" s="1"/>
  <c r="CY88" i="18" s="1"/>
  <c r="CZ88" i="18" s="1"/>
  <c r="DA88" i="18" s="1"/>
  <c r="DB88" i="18" s="1"/>
  <c r="DC88" i="18" s="1"/>
  <c r="DD88" i="18" s="1"/>
  <c r="DE88" i="18" s="1"/>
  <c r="DF88" i="18" s="1"/>
  <c r="DG88" i="18" s="1"/>
  <c r="DH88" i="18" s="1"/>
  <c r="DI88" i="18" s="1"/>
  <c r="DJ88" i="18" s="1"/>
  <c r="DK88" i="18" s="1"/>
  <c r="DL88" i="18" s="1"/>
  <c r="DM88" i="18" s="1"/>
  <c r="DN88" i="18" s="1"/>
  <c r="DO88" i="18" s="1"/>
  <c r="DP88" i="18" s="1"/>
  <c r="DQ88" i="18" s="1"/>
  <c r="DR88" i="18" s="1"/>
  <c r="DS88" i="18" s="1"/>
  <c r="DT88" i="18" s="1"/>
  <c r="DU88" i="18" s="1"/>
  <c r="DP123" i="18"/>
  <c r="DT123" i="18"/>
  <c r="DO123" i="18"/>
  <c r="DL123" i="18"/>
  <c r="DR123" i="18"/>
  <c r="C11" i="5"/>
  <c r="C6" i="5" s="1"/>
  <c r="DB123" i="18"/>
  <c r="CN123" i="18"/>
  <c r="AT123" i="18"/>
  <c r="AG123" i="18"/>
  <c r="BV123" i="18"/>
  <c r="AY123" i="18"/>
  <c r="T123" i="18"/>
  <c r="BD123" i="18"/>
  <c r="AJ123" i="18"/>
  <c r="BB123" i="18"/>
  <c r="BT123" i="18"/>
  <c r="BO123" i="18"/>
  <c r="BQ123" i="18"/>
  <c r="CU123" i="18"/>
  <c r="BY123" i="18"/>
  <c r="CG123" i="18"/>
  <c r="CY123" i="18"/>
  <c r="AP123" i="18"/>
  <c r="CD123" i="18"/>
  <c r="AR123" i="18"/>
  <c r="BJ123" i="18"/>
  <c r="DH123" i="18"/>
  <c r="AH123" i="18"/>
  <c r="DI123" i="18"/>
  <c r="DC123" i="18"/>
  <c r="BH123" i="18"/>
  <c r="AI123" i="18"/>
  <c r="U123" i="18"/>
  <c r="W123" i="18"/>
  <c r="BW123" i="18"/>
  <c r="CO123" i="18"/>
  <c r="Y123" i="18"/>
  <c r="R123" i="18"/>
  <c r="V123" i="18"/>
  <c r="AN123" i="18"/>
  <c r="CE123" i="18"/>
  <c r="CL123" i="18"/>
  <c r="DA123" i="18"/>
  <c r="AX123" i="18"/>
  <c r="CA123" i="18"/>
  <c r="BC123" i="18"/>
  <c r="BG123" i="18"/>
  <c r="AQ123" i="18"/>
  <c r="BU123" i="18"/>
  <c r="AD123" i="18"/>
  <c r="CB123" i="18"/>
  <c r="CM123" i="18"/>
  <c r="CW123" i="18"/>
  <c r="CJ123" i="18"/>
  <c r="AB123" i="18"/>
  <c r="DG123" i="18"/>
  <c r="DF123" i="18"/>
  <c r="BE123" i="18"/>
  <c r="BP123" i="18"/>
  <c r="BA123" i="18"/>
  <c r="CX123" i="18"/>
  <c r="CR123" i="18"/>
  <c r="AA123" i="18"/>
  <c r="CK123" i="18"/>
  <c r="AE123" i="18"/>
  <c r="BF123" i="18"/>
  <c r="DE123" i="18"/>
  <c r="S123" i="18"/>
  <c r="AM123" i="18"/>
  <c r="AZ123" i="18"/>
  <c r="X123" i="18"/>
  <c r="BS123" i="18"/>
  <c r="AW123" i="18"/>
  <c r="CI123" i="18"/>
  <c r="AV123" i="18"/>
  <c r="CQ123" i="18"/>
  <c r="CT123" i="18"/>
  <c r="CF123" i="18"/>
  <c r="AS123" i="18"/>
  <c r="BK123" i="18"/>
  <c r="BZ123" i="18"/>
  <c r="BI123" i="18"/>
  <c r="AO123" i="18"/>
  <c r="CH123" i="18"/>
  <c r="AL123" i="18"/>
  <c r="AF123" i="18"/>
  <c r="CV123" i="18"/>
  <c r="BM123" i="18"/>
  <c r="CZ123" i="18"/>
  <c r="Z123" i="18"/>
  <c r="CC123" i="18"/>
  <c r="AC123" i="18"/>
  <c r="BX123" i="18"/>
  <c r="CS123" i="18"/>
  <c r="BR123" i="18"/>
  <c r="BL123" i="18"/>
  <c r="AK123" i="18"/>
  <c r="DD123" i="18"/>
  <c r="CP123" i="18"/>
  <c r="AU123" i="18"/>
  <c r="BN123" i="18"/>
  <c r="AP5" i="42"/>
  <c r="AS5" i="42"/>
  <c r="AW5" i="42"/>
  <c r="AM5" i="42"/>
  <c r="AN5" i="42"/>
  <c r="AT5" i="42"/>
  <c r="AQ5" i="42"/>
  <c r="AO5" i="42"/>
  <c r="AV5" i="42"/>
  <c r="AR5" i="42"/>
  <c r="AU5" i="42"/>
  <c r="AL5" i="42"/>
  <c r="E36" i="28"/>
  <c r="C31" i="5" l="1"/>
  <c r="C34" i="5"/>
  <c r="D33" i="5" s="1"/>
  <c r="BS5" i="42"/>
  <c r="BI5" i="42"/>
  <c r="BH5" i="42"/>
  <c r="AZ5" i="42"/>
  <c r="BF5" i="42"/>
  <c r="BC5" i="42"/>
  <c r="AY5" i="42"/>
  <c r="BD5" i="42"/>
  <c r="BB5" i="42"/>
  <c r="BG5" i="42"/>
  <c r="BA5" i="42"/>
  <c r="BE5" i="42"/>
  <c r="AX5" i="42"/>
  <c r="F36" i="28"/>
  <c r="B3" i="41" l="1"/>
  <c r="D3" i="41"/>
  <c r="C3" i="41"/>
  <c r="E3" i="41"/>
  <c r="F3" i="41"/>
  <c r="G3" i="41"/>
  <c r="H3" i="41"/>
  <c r="I3" i="41"/>
  <c r="J3" i="41"/>
  <c r="B2" i="41"/>
  <c r="C2" i="41"/>
  <c r="D2" i="41"/>
  <c r="E2" i="41"/>
  <c r="F2" i="41"/>
  <c r="G2" i="41"/>
  <c r="H2" i="41"/>
  <c r="I2" i="41"/>
  <c r="J2" i="41"/>
  <c r="BR5" i="42"/>
  <c r="BN5" i="42"/>
  <c r="BJ5" i="42"/>
  <c r="BU5" i="42"/>
  <c r="BT5" i="42"/>
  <c r="BO5" i="42"/>
  <c r="BP5" i="42"/>
  <c r="BM5" i="42"/>
  <c r="BQ5" i="42"/>
  <c r="BK5" i="42"/>
  <c r="BL5" i="42"/>
  <c r="G36" i="28"/>
  <c r="BZ5" i="42" l="1"/>
  <c r="CB5" i="42"/>
  <c r="CD5" i="42"/>
  <c r="CC5" i="42"/>
  <c r="BY5" i="42"/>
  <c r="BW5" i="42"/>
  <c r="CE5" i="42"/>
  <c r="CF5" i="42"/>
  <c r="BX5" i="42"/>
  <c r="CA5" i="42"/>
  <c r="CG5" i="42"/>
  <c r="BV5" i="42"/>
  <c r="H36" i="28"/>
  <c r="DD5" i="42" l="1"/>
  <c r="CX5" i="42"/>
  <c r="DC5" i="42"/>
  <c r="CW5" i="42"/>
  <c r="CZ5" i="42"/>
  <c r="CY5" i="42"/>
  <c r="CV5" i="42"/>
  <c r="CU5" i="42"/>
  <c r="DO5" i="42"/>
  <c r="DH5" i="42"/>
  <c r="DI5" i="42"/>
  <c r="DK5" i="42"/>
  <c r="DJ5" i="42"/>
  <c r="E3" i="16"/>
  <c r="E5" i="16" s="1"/>
  <c r="CI5" i="42"/>
  <c r="CM5" i="42"/>
  <c r="CN5" i="42"/>
  <c r="CP5" i="42"/>
  <c r="CS5" i="42"/>
  <c r="CK5" i="42"/>
  <c r="CR5" i="42"/>
  <c r="CJ5" i="42"/>
  <c r="CO5" i="42"/>
  <c r="CL5" i="42"/>
  <c r="CQ5" i="42"/>
  <c r="CH5" i="42"/>
  <c r="I36" i="28"/>
  <c r="DE5" i="42" l="1"/>
  <c r="CT5" i="42"/>
  <c r="DU5" i="42"/>
  <c r="DB5" i="42"/>
  <c r="DA5" i="42"/>
  <c r="DT5" i="42"/>
  <c r="DX5" i="42"/>
  <c r="EB5" i="42"/>
  <c r="DV5" i="42"/>
  <c r="EA5" i="42"/>
  <c r="DQ5" i="42"/>
  <c r="DG5" i="42"/>
  <c r="DM5" i="42"/>
  <c r="DP5" i="42"/>
  <c r="DL5" i="42"/>
  <c r="DN5" i="42"/>
  <c r="DF5" i="42"/>
  <c r="F3" i="16"/>
  <c r="F5" i="16" s="1"/>
  <c r="DZ5" i="42" l="1"/>
  <c r="DW5" i="42"/>
  <c r="EC5" i="42"/>
  <c r="DR5" i="42"/>
  <c r="D3" i="22"/>
  <c r="D5" i="22"/>
  <c r="D4" i="22"/>
  <c r="DY5" i="42"/>
  <c r="DS5" i="42"/>
  <c r="G3" i="16"/>
  <c r="G5" i="16" s="1"/>
  <c r="N127" i="18"/>
  <c r="D9" i="22" l="1"/>
  <c r="J5" i="16"/>
  <c r="L5" i="16"/>
  <c r="H3" i="16"/>
  <c r="H5" i="16" s="1"/>
  <c r="K5" i="16" l="1"/>
  <c r="I3" i="16"/>
  <c r="I5" i="16" s="1"/>
  <c r="AH76" i="18" l="1"/>
  <c r="CH16" i="45" l="1"/>
  <c r="CF10" i="5" s="1"/>
  <c r="CB16" i="45"/>
  <c r="BZ10" i="5" s="1"/>
  <c r="CG16" i="45"/>
  <c r="CE10" i="5" s="1"/>
  <c r="CA16" i="45"/>
  <c r="BY10" i="5" s="1"/>
  <c r="AU16" i="45"/>
  <c r="AS10" i="5" s="1"/>
  <c r="BQ16" i="45"/>
  <c r="BO10" i="5" s="1"/>
  <c r="AJ16" i="45"/>
  <c r="AX16" i="45"/>
  <c r="AV10" i="5" s="1"/>
  <c r="AH10" i="5" l="1"/>
  <c r="AK76" i="18" s="1"/>
  <c r="AO16" i="45"/>
  <c r="AM10" i="5" s="1"/>
  <c r="DO16" i="45"/>
  <c r="DM10" i="5" s="1"/>
  <c r="BM16" i="45"/>
  <c r="BK10" i="5" s="1"/>
  <c r="BA16" i="45"/>
  <c r="AY10" i="5" s="1"/>
  <c r="CC16" i="45"/>
  <c r="CA10" i="5" s="1"/>
  <c r="BU16" i="45"/>
  <c r="BS10" i="5" s="1"/>
  <c r="BF16" i="45"/>
  <c r="BD10" i="5" s="1"/>
  <c r="AY16" i="45"/>
  <c r="AW10" i="5" s="1"/>
  <c r="BP16" i="45"/>
  <c r="BN10" i="5" s="1"/>
  <c r="AM16" i="45"/>
  <c r="AK10" i="5" s="1"/>
  <c r="DM16" i="45"/>
  <c r="DK10" i="5" s="1"/>
  <c r="AI16" i="45"/>
  <c r="AG10" i="5" s="1"/>
  <c r="CZ16" i="45"/>
  <c r="CX10" i="5" s="1"/>
  <c r="BG16" i="45"/>
  <c r="BE10" i="5" s="1"/>
  <c r="DS16" i="45"/>
  <c r="DQ10" i="5" s="1"/>
  <c r="DJ16" i="45"/>
  <c r="DH10" i="5" s="1"/>
  <c r="AD16" i="45"/>
  <c r="AB10" i="5" s="1"/>
  <c r="AF16" i="45"/>
  <c r="AD10" i="5" s="1"/>
  <c r="BI16" i="45"/>
  <c r="BG10" i="5" s="1"/>
  <c r="BX16" i="45"/>
  <c r="BV10" i="5" s="1"/>
  <c r="DC16" i="45"/>
  <c r="DA10" i="5" s="1"/>
  <c r="EB16" i="45"/>
  <c r="BJ16" i="45"/>
  <c r="BH10" i="5" s="1"/>
  <c r="CJ16" i="45"/>
  <c r="CH10" i="5" s="1"/>
  <c r="DW16" i="45"/>
  <c r="DB16" i="45"/>
  <c r="CZ10" i="5" s="1"/>
  <c r="AR16" i="45"/>
  <c r="AP10" i="5" s="1"/>
  <c r="DF16" i="45"/>
  <c r="DD10" i="5" s="1"/>
  <c r="BB16" i="45"/>
  <c r="AZ10" i="5" s="1"/>
  <c r="BK16" i="45"/>
  <c r="BI10" i="5" s="1"/>
  <c r="CM16" i="45"/>
  <c r="CK10" i="5" s="1"/>
  <c r="EF16" i="45"/>
  <c r="DV16" i="45"/>
  <c r="DZ16" i="45"/>
  <c r="DQ16" i="45"/>
  <c r="DO10" i="5" s="1"/>
  <c r="CU16" i="45"/>
  <c r="CS10" i="5" s="1"/>
  <c r="AS16" i="45"/>
  <c r="AQ10" i="5" s="1"/>
  <c r="DX16" i="45"/>
  <c r="CX16" i="45"/>
  <c r="CV10" i="5" s="1"/>
  <c r="CT16" i="45"/>
  <c r="CR10" i="5" s="1"/>
  <c r="DE16" i="45"/>
  <c r="DC10" i="5" s="1"/>
  <c r="DT16" i="45"/>
  <c r="DR10" i="5" s="1"/>
  <c r="AS8" i="5"/>
  <c r="AR6" i="42"/>
  <c r="BY8" i="5"/>
  <c r="BX6" i="42"/>
  <c r="AH8" i="5"/>
  <c r="AG6" i="42"/>
  <c r="AV8" i="5"/>
  <c r="AU6" i="42"/>
  <c r="DJ6" i="42"/>
  <c r="CD6" i="42"/>
  <c r="CE8" i="5"/>
  <c r="CQ16" i="45"/>
  <c r="CO10" i="5" s="1"/>
  <c r="AD6" i="42"/>
  <c r="AE8" i="5"/>
  <c r="AP16" i="45"/>
  <c r="AN10" i="5" s="1"/>
  <c r="AQ16" i="45"/>
  <c r="AO10" i="5" s="1"/>
  <c r="DN16" i="45"/>
  <c r="DL10" i="5" s="1"/>
  <c r="DL16" i="45"/>
  <c r="DJ10" i="5" s="1"/>
  <c r="BH16" i="45"/>
  <c r="BF10" i="5" s="1"/>
  <c r="CR16" i="45"/>
  <c r="CP10" i="5" s="1"/>
  <c r="BT16" i="45"/>
  <c r="BR10" i="5" s="1"/>
  <c r="BN16" i="45"/>
  <c r="BL10" i="5" s="1"/>
  <c r="DD16" i="45"/>
  <c r="DB10" i="5" s="1"/>
  <c r="BR16" i="45"/>
  <c r="BP10" i="5" s="1"/>
  <c r="CO16" i="45"/>
  <c r="CM10" i="5" s="1"/>
  <c r="BV16" i="45"/>
  <c r="BT10" i="5" s="1"/>
  <c r="CS16" i="45"/>
  <c r="CQ10" i="5" s="1"/>
  <c r="DP16" i="45"/>
  <c r="DN10" i="5" s="1"/>
  <c r="CD16" i="45"/>
  <c r="CB10" i="5" s="1"/>
  <c r="BY16" i="45"/>
  <c r="BW10" i="5" s="1"/>
  <c r="AV16" i="45"/>
  <c r="AT10" i="5" s="1"/>
  <c r="CP16" i="45"/>
  <c r="CN10" i="5" s="1"/>
  <c r="BL16" i="45"/>
  <c r="BJ10" i="5" s="1"/>
  <c r="CL16" i="45"/>
  <c r="CJ10" i="5" s="1"/>
  <c r="DA16" i="45"/>
  <c r="CY10" i="5" s="1"/>
  <c r="BO16" i="45"/>
  <c r="BM10" i="5" s="1"/>
  <c r="BE16" i="45"/>
  <c r="BC10" i="5" s="1"/>
  <c r="EA16" i="45"/>
  <c r="DR16" i="45"/>
  <c r="DP10" i="5" s="1"/>
  <c r="CI16" i="45"/>
  <c r="CG10" i="5" s="1"/>
  <c r="BZ8" i="5"/>
  <c r="BY6" i="42"/>
  <c r="CF8" i="5"/>
  <c r="CE6" i="42"/>
  <c r="AN16" i="45"/>
  <c r="AL10" i="5" s="1"/>
  <c r="AH16" i="45"/>
  <c r="BW16" i="45"/>
  <c r="BU10" i="5" s="1"/>
  <c r="AL16" i="45"/>
  <c r="AT16" i="45"/>
  <c r="AR10" i="5" s="1"/>
  <c r="AW16" i="45"/>
  <c r="AU10" i="5" s="1"/>
  <c r="BC16" i="45"/>
  <c r="BA10" i="5" s="1"/>
  <c r="AZ16" i="45"/>
  <c r="AX10" i="5" s="1"/>
  <c r="DK16" i="45"/>
  <c r="DI10" i="5" s="1"/>
  <c r="CN16" i="45"/>
  <c r="CL10" i="5" s="1"/>
  <c r="ED16" i="45"/>
  <c r="BD16" i="45"/>
  <c r="BB10" i="5" s="1"/>
  <c r="BO8" i="5"/>
  <c r="BN6" i="42"/>
  <c r="DH16" i="45"/>
  <c r="DF10" i="5" s="1"/>
  <c r="CY16" i="45"/>
  <c r="CW10" i="5" s="1"/>
  <c r="CF16" i="45"/>
  <c r="CD10" i="5" s="1"/>
  <c r="EE16" i="45"/>
  <c r="DY16" i="45"/>
  <c r="BS16" i="45"/>
  <c r="BQ10" i="5" s="1"/>
  <c r="CV16" i="45"/>
  <c r="CT10" i="5" s="1"/>
  <c r="EC16" i="45"/>
  <c r="AE16" i="45"/>
  <c r="AC10" i="5" s="1"/>
  <c r="BZ16" i="45"/>
  <c r="BX10" i="5" s="1"/>
  <c r="CE16" i="45"/>
  <c r="CC10" i="5" s="1"/>
  <c r="DG16" i="45"/>
  <c r="DE10" i="5" s="1"/>
  <c r="AJ10" i="5" l="1"/>
  <c r="AM76" i="18" s="1"/>
  <c r="ED10" i="5"/>
  <c r="ED8" i="5" s="1"/>
  <c r="EA10" i="5"/>
  <c r="EA8" i="5" s="1"/>
  <c r="EC10" i="5"/>
  <c r="EC8" i="5" s="1"/>
  <c r="AF10" i="5"/>
  <c r="AI76" i="18" s="1"/>
  <c r="DY10" i="5"/>
  <c r="DY8" i="5" s="1"/>
  <c r="AI10" i="5"/>
  <c r="AL76" i="18" s="1"/>
  <c r="DT10" i="5"/>
  <c r="DT8" i="5" s="1"/>
  <c r="DU10" i="5"/>
  <c r="DU8" i="5" s="1"/>
  <c r="DW10" i="5"/>
  <c r="DW8" i="5" s="1"/>
  <c r="EB10" i="5"/>
  <c r="EB8" i="5" s="1"/>
  <c r="DV10" i="5"/>
  <c r="DV8" i="5" s="1"/>
  <c r="DX10" i="5"/>
  <c r="DX8" i="5" s="1"/>
  <c r="DZ10" i="5"/>
  <c r="DZ8" i="5" s="1"/>
  <c r="CR8" i="5"/>
  <c r="CS8" i="5"/>
  <c r="EC6" i="42"/>
  <c r="DM8" i="5"/>
  <c r="DQ6" i="42"/>
  <c r="DR8" i="5"/>
  <c r="DY6" i="42"/>
  <c r="CU6" i="42"/>
  <c r="CV8" i="5"/>
  <c r="DO8" i="5"/>
  <c r="DQ8" i="5"/>
  <c r="DK8" i="5"/>
  <c r="DB6" i="42"/>
  <c r="DC8" i="5"/>
  <c r="DA8" i="5"/>
  <c r="CW6" i="42"/>
  <c r="CX8" i="5"/>
  <c r="DG6" i="42"/>
  <c r="DH8" i="5"/>
  <c r="CY6" i="42"/>
  <c r="CZ8" i="5"/>
  <c r="DC6" i="42"/>
  <c r="DD8" i="5"/>
  <c r="CH8" i="5"/>
  <c r="CA8" i="5"/>
  <c r="BN8" i="5"/>
  <c r="BR6" i="42"/>
  <c r="BS8" i="5"/>
  <c r="BV8" i="5"/>
  <c r="BI8" i="5"/>
  <c r="CJ6" i="42"/>
  <c r="CK8" i="5"/>
  <c r="BG6" i="42"/>
  <c r="BH8" i="5"/>
  <c r="BG8" i="5"/>
  <c r="AF6" i="42"/>
  <c r="AW8" i="5"/>
  <c r="AL6" i="42"/>
  <c r="AP6" i="42"/>
  <c r="AQ8" i="5"/>
  <c r="AY6" i="42"/>
  <c r="AA6" i="42"/>
  <c r="AB8" i="5"/>
  <c r="AB19" i="5" s="1"/>
  <c r="AD8" i="5"/>
  <c r="BD6" i="42"/>
  <c r="BE8" i="5"/>
  <c r="AK8" i="5"/>
  <c r="BC6" i="42"/>
  <c r="BD8" i="5"/>
  <c r="AO6" i="42"/>
  <c r="AP8" i="5"/>
  <c r="DL6" i="42"/>
  <c r="K34" i="45"/>
  <c r="G34" i="45"/>
  <c r="H34" i="45"/>
  <c r="I34" i="45"/>
  <c r="F34" i="45"/>
  <c r="AC6" i="42"/>
  <c r="CW16" i="45"/>
  <c r="CU10" i="5" s="1"/>
  <c r="AJ6" i="42"/>
  <c r="BZ6" i="42"/>
  <c r="AV6" i="42"/>
  <c r="BH6" i="42"/>
  <c r="DN6" i="42"/>
  <c r="CZ6" i="42"/>
  <c r="DP6" i="42"/>
  <c r="BU6" i="42"/>
  <c r="BM6" i="42"/>
  <c r="BF6" i="42"/>
  <c r="DW6" i="42"/>
  <c r="CG6" i="42"/>
  <c r="DS6" i="42"/>
  <c r="DU6" i="42"/>
  <c r="CQ6" i="42"/>
  <c r="CR6" i="42"/>
  <c r="DT6" i="42"/>
  <c r="BK8" i="5"/>
  <c r="BJ6" i="42"/>
  <c r="DE8" i="5"/>
  <c r="DD6" i="42"/>
  <c r="DZ6" i="42"/>
  <c r="EB6" i="42"/>
  <c r="I21" i="42"/>
  <c r="DV6" i="42"/>
  <c r="DF8" i="5"/>
  <c r="DE6" i="42"/>
  <c r="DI8" i="5"/>
  <c r="DH6" i="42"/>
  <c r="DU16" i="45"/>
  <c r="DS10" i="5" s="1"/>
  <c r="M34" i="45"/>
  <c r="AI6" i="42"/>
  <c r="AL8" i="5"/>
  <c r="AK6" i="42"/>
  <c r="CG8" i="5"/>
  <c r="CF6" i="42"/>
  <c r="BC8" i="5"/>
  <c r="BB6" i="42"/>
  <c r="BJ8" i="5"/>
  <c r="BI6" i="42"/>
  <c r="BV6" i="42"/>
  <c r="BW8" i="5"/>
  <c r="CQ8" i="5"/>
  <c r="CP6" i="42"/>
  <c r="CM8" i="5"/>
  <c r="CL6" i="42"/>
  <c r="BR8" i="5"/>
  <c r="BQ6" i="42"/>
  <c r="DJ8" i="5"/>
  <c r="DI6" i="42"/>
  <c r="AN8" i="5"/>
  <c r="AM6" i="42"/>
  <c r="AY8" i="5"/>
  <c r="AX6" i="42"/>
  <c r="H21" i="42"/>
  <c r="F21" i="42"/>
  <c r="CL8" i="5"/>
  <c r="CK6" i="42"/>
  <c r="BA8" i="5"/>
  <c r="AZ6" i="42"/>
  <c r="AR8" i="5"/>
  <c r="AQ6" i="42"/>
  <c r="J21" i="42"/>
  <c r="DX6" i="42"/>
  <c r="CJ8" i="5"/>
  <c r="CI6" i="42"/>
  <c r="AT8" i="5"/>
  <c r="AS6" i="42"/>
  <c r="DN8" i="5"/>
  <c r="DM6" i="42"/>
  <c r="BT8" i="5"/>
  <c r="BS6" i="42"/>
  <c r="BP8" i="5"/>
  <c r="BO6" i="42"/>
  <c r="BL8" i="5"/>
  <c r="BK6" i="42"/>
  <c r="AH6" i="42"/>
  <c r="AO8" i="5"/>
  <c r="AN6" i="42"/>
  <c r="CO8" i="5"/>
  <c r="CN6" i="42"/>
  <c r="BX8" i="5"/>
  <c r="BW6" i="42"/>
  <c r="CW8" i="5"/>
  <c r="CV6" i="42"/>
  <c r="CC8" i="5"/>
  <c r="CB6" i="42"/>
  <c r="AC8" i="5"/>
  <c r="AB6" i="42"/>
  <c r="CT8" i="5"/>
  <c r="CS6" i="42"/>
  <c r="BQ8" i="5"/>
  <c r="BP6" i="42"/>
  <c r="CD8" i="5"/>
  <c r="CC6" i="42"/>
  <c r="EA6" i="42"/>
  <c r="AE6" i="42"/>
  <c r="E34" i="45"/>
  <c r="CY8" i="5"/>
  <c r="CX6" i="42"/>
  <c r="CM6" i="42"/>
  <c r="CN8" i="5"/>
  <c r="CB8" i="5"/>
  <c r="CA6" i="42"/>
  <c r="J34" i="45"/>
  <c r="CK16" i="45"/>
  <c r="CI10" i="5" s="1"/>
  <c r="CO6" i="42"/>
  <c r="CP8" i="5"/>
  <c r="BF8" i="5"/>
  <c r="BE6" i="42"/>
  <c r="DL8" i="5"/>
  <c r="DK6" i="42"/>
  <c r="L34" i="45"/>
  <c r="DI16" i="45"/>
  <c r="DG10" i="5" s="1"/>
  <c r="BB8" i="5"/>
  <c r="BA6" i="42"/>
  <c r="AX8" i="5"/>
  <c r="AW6" i="42"/>
  <c r="AU8" i="5"/>
  <c r="AT6" i="42"/>
  <c r="BU8" i="5"/>
  <c r="BT6" i="42"/>
  <c r="K21" i="42"/>
  <c r="DP8" i="5"/>
  <c r="DO6" i="42"/>
  <c r="BM8" i="5"/>
  <c r="BL6" i="42"/>
  <c r="L21" i="42"/>
  <c r="DB8" i="5"/>
  <c r="DA6" i="42"/>
  <c r="G21" i="42"/>
  <c r="AB18" i="5" l="1"/>
  <c r="AE75" i="18" s="1"/>
  <c r="AF8" i="5"/>
  <c r="AJ8" i="5"/>
  <c r="AI8" i="5"/>
  <c r="M64" i="5"/>
  <c r="L6" i="16" s="1"/>
  <c r="DS8" i="5"/>
  <c r="M62" i="5" s="1"/>
  <c r="AG8" i="5"/>
  <c r="AJ76" i="18"/>
  <c r="L64" i="5"/>
  <c r="K6" i="16" s="1"/>
  <c r="CU8" i="5"/>
  <c r="K62" i="5" s="1"/>
  <c r="J64" i="5"/>
  <c r="I6" i="16" s="1"/>
  <c r="H64" i="5"/>
  <c r="G6" i="16" s="1"/>
  <c r="I64" i="5"/>
  <c r="H6" i="16" s="1"/>
  <c r="G64" i="5"/>
  <c r="F6" i="16" s="1"/>
  <c r="H62" i="5"/>
  <c r="F64" i="5"/>
  <c r="E6" i="16" s="1"/>
  <c r="I62" i="5"/>
  <c r="AZ8" i="5"/>
  <c r="G62" i="5" s="1"/>
  <c r="E64" i="5"/>
  <c r="D6" i="16" s="1"/>
  <c r="AM8" i="5"/>
  <c r="F62" i="5" s="1"/>
  <c r="CT6" i="42"/>
  <c r="DF6" i="42"/>
  <c r="Z6" i="42"/>
  <c r="DR6" i="42"/>
  <c r="CH6" i="42"/>
  <c r="E62" i="5" l="1"/>
  <c r="K64" i="5"/>
  <c r="J6" i="16" s="1"/>
  <c r="B4" i="41"/>
  <c r="C4" i="41" s="1"/>
  <c r="CI8" i="5"/>
  <c r="J62" i="5" s="1"/>
  <c r="DG8" i="5"/>
  <c r="L62" i="5" s="1"/>
  <c r="B5" i="41" l="1"/>
  <c r="B6" i="41" s="1"/>
  <c r="C5" i="41"/>
  <c r="C6" i="41" s="1"/>
  <c r="D4" i="41"/>
  <c r="D5" i="41" l="1"/>
  <c r="D6" i="41" s="1"/>
  <c r="E4" i="41"/>
  <c r="E73" i="5" l="1"/>
  <c r="E5" i="41"/>
  <c r="E6" i="41" s="1"/>
  <c r="F4" i="41"/>
  <c r="F5" i="41" l="1"/>
  <c r="F6" i="41" s="1"/>
  <c r="G4" i="41"/>
  <c r="G5" i="41" l="1"/>
  <c r="G6" i="41" s="1"/>
  <c r="H4" i="41"/>
  <c r="AE51" i="5" l="1"/>
  <c r="AF51" i="5" s="1"/>
  <c r="H5" i="41"/>
  <c r="H6" i="41" s="1"/>
  <c r="I4" i="41"/>
  <c r="AG51" i="5" l="1"/>
  <c r="AH51" i="5" s="1"/>
  <c r="AI51" i="5" s="1"/>
  <c r="AJ51" i="5" s="1"/>
  <c r="AK51" i="5" s="1"/>
  <c r="AL51" i="5" s="1"/>
  <c r="AM51" i="5" s="1"/>
  <c r="AN51" i="5" s="1"/>
  <c r="AO51" i="5" s="1"/>
  <c r="AP51" i="5" s="1"/>
  <c r="AQ51" i="5" s="1"/>
  <c r="AR51" i="5" s="1"/>
  <c r="AS51" i="5" s="1"/>
  <c r="AT51" i="5" s="1"/>
  <c r="AU51" i="5" s="1"/>
  <c r="AV51" i="5" s="1"/>
  <c r="AW51" i="5" s="1"/>
  <c r="AX51" i="5" s="1"/>
  <c r="AY51" i="5" s="1"/>
  <c r="AZ51" i="5" s="1"/>
  <c r="BA51" i="5" s="1"/>
  <c r="BB51" i="5" s="1"/>
  <c r="BC51" i="5" s="1"/>
  <c r="BD51" i="5" s="1"/>
  <c r="BE51" i="5" s="1"/>
  <c r="BF51" i="5" s="1"/>
  <c r="BG51" i="5" s="1"/>
  <c r="BH51" i="5" s="1"/>
  <c r="BI51" i="5" s="1"/>
  <c r="BJ51" i="5" s="1"/>
  <c r="BK51" i="5" s="1"/>
  <c r="BL51" i="5" s="1"/>
  <c r="BM51" i="5" s="1"/>
  <c r="BN51" i="5" s="1"/>
  <c r="BO51" i="5" s="1"/>
  <c r="BP51" i="5" s="1"/>
  <c r="BQ51" i="5" s="1"/>
  <c r="BR51" i="5" s="1"/>
  <c r="BS51" i="5" s="1"/>
  <c r="BT51" i="5" s="1"/>
  <c r="BU51" i="5" s="1"/>
  <c r="BV51" i="5" s="1"/>
  <c r="BW51" i="5" s="1"/>
  <c r="BX51" i="5" s="1"/>
  <c r="BY51" i="5" s="1"/>
  <c r="BZ51" i="5" s="1"/>
  <c r="CA51" i="5" s="1"/>
  <c r="CB51" i="5" s="1"/>
  <c r="CC51" i="5" s="1"/>
  <c r="CD51" i="5" s="1"/>
  <c r="CE51" i="5" s="1"/>
  <c r="CF51" i="5" s="1"/>
  <c r="CG51" i="5" s="1"/>
  <c r="CH51" i="5" s="1"/>
  <c r="CI51" i="5" s="1"/>
  <c r="CJ51" i="5" s="1"/>
  <c r="CK51" i="5" s="1"/>
  <c r="CL51" i="5" s="1"/>
  <c r="CM51" i="5" s="1"/>
  <c r="CN51" i="5" s="1"/>
  <c r="CO51" i="5" s="1"/>
  <c r="CP51" i="5" s="1"/>
  <c r="CQ51" i="5" s="1"/>
  <c r="CR51" i="5" s="1"/>
  <c r="CS51" i="5" s="1"/>
  <c r="CT51" i="5" s="1"/>
  <c r="CU51" i="5" s="1"/>
  <c r="CV51" i="5" s="1"/>
  <c r="CW51" i="5" s="1"/>
  <c r="CX51" i="5" s="1"/>
  <c r="CY51" i="5" s="1"/>
  <c r="CZ51" i="5" s="1"/>
  <c r="DA51" i="5" s="1"/>
  <c r="DB51" i="5" s="1"/>
  <c r="DC51" i="5" s="1"/>
  <c r="DD51" i="5" s="1"/>
  <c r="DE51" i="5" s="1"/>
  <c r="DF51" i="5" s="1"/>
  <c r="DG51" i="5" s="1"/>
  <c r="DH51" i="5" s="1"/>
  <c r="DI51" i="5" s="1"/>
  <c r="DJ51" i="5" s="1"/>
  <c r="DK51" i="5" s="1"/>
  <c r="DL51" i="5" s="1"/>
  <c r="DM51" i="5" s="1"/>
  <c r="DN51" i="5" s="1"/>
  <c r="DO51" i="5" s="1"/>
  <c r="DP51" i="5" s="1"/>
  <c r="DQ51" i="5" s="1"/>
  <c r="DR51" i="5" s="1"/>
  <c r="DS51" i="5" s="1"/>
  <c r="DT51" i="5" s="1"/>
  <c r="DU51" i="5" s="1"/>
  <c r="DV51" i="5" s="1"/>
  <c r="DW51" i="5" s="1"/>
  <c r="DX51" i="5" s="1"/>
  <c r="DY51" i="5" s="1"/>
  <c r="DZ51" i="5" s="1"/>
  <c r="EA51" i="5" s="1"/>
  <c r="EB51" i="5" s="1"/>
  <c r="EC51" i="5" s="1"/>
  <c r="ED51" i="5" s="1"/>
  <c r="I5" i="41"/>
  <c r="I6" i="41" s="1"/>
  <c r="J4" i="41"/>
  <c r="J5" i="41" s="1"/>
  <c r="J6" i="41" s="1"/>
  <c r="AF76" i="18" l="1"/>
  <c r="AG76" i="18"/>
  <c r="E67" i="5" l="1"/>
  <c r="E80" i="5"/>
  <c r="AN76" i="18"/>
  <c r="F67" i="5" l="1"/>
  <c r="F80" i="5"/>
  <c r="H67" i="5"/>
  <c r="G80" i="5"/>
  <c r="H80" i="5"/>
  <c r="G67" i="5"/>
  <c r="E72" i="5"/>
  <c r="AE76" i="18" l="1"/>
  <c r="AW17" i="5" l="1"/>
  <c r="AW12" i="5" s="1"/>
  <c r="BM17" i="5"/>
  <c r="BM12" i="5" s="1"/>
  <c r="BF17" i="5"/>
  <c r="BF12" i="5" s="1"/>
  <c r="BQ30" i="5"/>
  <c r="BQ25" i="5" s="1"/>
  <c r="BG30" i="5"/>
  <c r="BG25" i="5" s="1"/>
  <c r="AG30" i="5"/>
  <c r="AG25" i="5" s="1"/>
  <c r="AO17" i="5"/>
  <c r="AO12" i="5" s="1"/>
  <c r="BB17" i="5"/>
  <c r="BB12" i="5" s="1"/>
  <c r="CF17" i="5"/>
  <c r="CF12" i="5" s="1"/>
  <c r="BM30" i="5"/>
  <c r="BM25" i="5" s="1"/>
  <c r="BD30" i="5"/>
  <c r="BD25" i="5" s="1"/>
  <c r="BI30" i="5"/>
  <c r="BI25" i="5" s="1"/>
  <c r="AX17" i="5"/>
  <c r="AX12" i="5" s="1"/>
  <c r="BC17" i="5"/>
  <c r="BC12" i="5" s="1"/>
  <c r="AJ17" i="5"/>
  <c r="AJ12" i="5" s="1"/>
  <c r="BV30" i="5"/>
  <c r="BV25" i="5" s="1"/>
  <c r="BP30" i="5"/>
  <c r="BP25" i="5" s="1"/>
  <c r="AV30" i="5"/>
  <c r="AV25" i="5" s="1"/>
  <c r="BY17" i="5"/>
  <c r="BY12" i="5" s="1"/>
  <c r="AS17" i="5"/>
  <c r="AS12" i="5" s="1"/>
  <c r="AP17" i="5"/>
  <c r="AP12" i="5" s="1"/>
  <c r="BX30" i="5"/>
  <c r="BX25" i="5" s="1"/>
  <c r="BJ30" i="5"/>
  <c r="BJ25" i="5" s="1"/>
  <c r="AN30" i="5"/>
  <c r="AN25" i="5" s="1"/>
  <c r="CE30" i="5"/>
  <c r="CE25" i="5" s="1"/>
  <c r="AB30" i="5"/>
  <c r="AB25" i="5" s="1"/>
  <c r="Y25" i="5"/>
  <c r="AQ17" i="5"/>
  <c r="AQ12" i="5" s="1"/>
  <c r="BX17" i="5"/>
  <c r="BX12" i="5" s="1"/>
  <c r="BQ17" i="5"/>
  <c r="BQ12" i="5" s="1"/>
  <c r="AT17" i="5"/>
  <c r="AT12" i="5" s="1"/>
  <c r="CA30" i="5"/>
  <c r="CA25" i="5" s="1"/>
  <c r="AK30" i="5"/>
  <c r="AK25" i="5" s="1"/>
  <c r="AN17" i="5"/>
  <c r="AN12" i="5" s="1"/>
  <c r="CC17" i="5"/>
  <c r="CC12" i="5" s="1"/>
  <c r="BV17" i="5"/>
  <c r="BV12" i="5" s="1"/>
  <c r="AH30" i="5"/>
  <c r="AH25" i="5" s="1"/>
  <c r="BH30" i="5"/>
  <c r="BH25" i="5" s="1"/>
  <c r="AT30" i="5"/>
  <c r="AT25" i="5" s="1"/>
  <c r="BI17" i="5"/>
  <c r="BI12" i="5" s="1"/>
  <c r="BR17" i="5"/>
  <c r="BR12" i="5" s="1"/>
  <c r="BG17" i="5"/>
  <c r="BG12" i="5" s="1"/>
  <c r="BZ30" i="5"/>
  <c r="BZ25" i="5" s="1"/>
  <c r="AW30" i="5"/>
  <c r="AW25" i="5" s="1"/>
  <c r="AP30" i="5"/>
  <c r="AP25" i="5" s="1"/>
  <c r="BT17" i="5"/>
  <c r="BT12" i="5" s="1"/>
  <c r="BH17" i="5"/>
  <c r="BH12" i="5" s="1"/>
  <c r="BA17" i="5"/>
  <c r="BA12" i="5" s="1"/>
  <c r="AF30" i="5"/>
  <c r="AF25" i="5" s="1"/>
  <c r="CD30" i="5"/>
  <c r="CD25" i="5" s="1"/>
  <c r="AR30" i="5"/>
  <c r="AR25" i="5" s="1"/>
  <c r="BB30" i="5"/>
  <c r="BB25" i="5" s="1"/>
  <c r="CF30" i="5"/>
  <c r="CF25" i="5" s="1"/>
  <c r="AX30" i="5"/>
  <c r="AX25" i="5" s="1"/>
  <c r="CE17" i="5"/>
  <c r="CE12" i="5" s="1"/>
  <c r="CB17" i="5"/>
  <c r="CB12" i="5" s="1"/>
  <c r="BE17" i="5"/>
  <c r="BE12" i="5" s="1"/>
  <c r="AI30" i="5"/>
  <c r="AI25" i="5" s="1"/>
  <c r="AJ30" i="5"/>
  <c r="AJ25" i="5" s="1"/>
  <c r="CA17" i="5"/>
  <c r="CA12" i="5" s="1"/>
  <c r="AE17" i="5"/>
  <c r="AE12" i="5" s="1"/>
  <c r="AF17" i="5"/>
  <c r="AF12" i="5" s="1"/>
  <c r="BJ17" i="5"/>
  <c r="BJ12" i="5" s="1"/>
  <c r="CB30" i="5"/>
  <c r="CB25" i="5" s="1"/>
  <c r="BN30" i="5"/>
  <c r="BN25" i="5" s="1"/>
  <c r="BD17" i="5"/>
  <c r="BD12" i="5" s="1"/>
  <c r="AR17" i="5"/>
  <c r="AR12" i="5" s="1"/>
  <c r="AG17" i="5"/>
  <c r="AG12" i="5" s="1"/>
  <c r="AE30" i="5"/>
  <c r="AE25" i="5" s="1"/>
  <c r="BA30" i="5"/>
  <c r="BA25" i="5" s="1"/>
  <c r="AQ30" i="5"/>
  <c r="AQ25" i="5" s="1"/>
  <c r="BO17" i="5"/>
  <c r="BO12" i="5" s="1"/>
  <c r="BL17" i="5"/>
  <c r="BL12" i="5" s="1"/>
  <c r="AK17" i="5"/>
  <c r="AK12" i="5" s="1"/>
  <c r="AC30" i="5"/>
  <c r="AC25" i="5" s="1"/>
  <c r="BE30" i="5"/>
  <c r="BE25" i="5" s="1"/>
  <c r="CC30" i="5"/>
  <c r="CC25" i="5" s="1"/>
  <c r="BR30" i="5"/>
  <c r="BR25" i="5" s="1"/>
  <c r="BY30" i="5"/>
  <c r="BY25" i="5" s="1"/>
  <c r="CD17" i="5"/>
  <c r="CD12" i="5" s="1"/>
  <c r="AL17" i="5"/>
  <c r="AL12" i="5" s="1"/>
  <c r="BP17" i="5"/>
  <c r="BP12" i="5" s="1"/>
  <c r="BT30" i="5"/>
  <c r="BT25" i="5" s="1"/>
  <c r="BC30" i="5"/>
  <c r="BC25" i="5" s="1"/>
  <c r="AS30" i="5"/>
  <c r="AS25" i="5" s="1"/>
  <c r="AH17" i="5"/>
  <c r="AH12" i="5" s="1"/>
  <c r="AI17" i="5"/>
  <c r="AI12" i="5" s="1"/>
  <c r="BU17" i="5"/>
  <c r="BU12" i="5" s="1"/>
  <c r="BO30" i="5"/>
  <c r="BO25" i="5" s="1"/>
  <c r="AZ30" i="5"/>
  <c r="AZ25" i="5" s="1"/>
  <c r="AU30" i="5"/>
  <c r="AU25" i="5" s="1"/>
  <c r="AU17" i="5"/>
  <c r="AU12" i="5" s="1"/>
  <c r="AV17" i="5"/>
  <c r="AV12" i="5" s="1"/>
  <c r="BZ17" i="5"/>
  <c r="BZ12" i="5" s="1"/>
  <c r="BU30" i="5"/>
  <c r="BU25" i="5" s="1"/>
  <c r="BL30" i="5"/>
  <c r="BL25" i="5" s="1"/>
  <c r="BN17" i="5"/>
  <c r="BN12" i="5" s="1"/>
  <c r="BS17" i="5"/>
  <c r="BS12" i="5" s="1"/>
  <c r="AZ17" i="5"/>
  <c r="AZ12" i="5" s="1"/>
  <c r="BS30" i="5"/>
  <c r="BS25" i="5" s="1"/>
  <c r="BF30" i="5"/>
  <c r="BF25" i="5" s="1"/>
  <c r="AO30" i="5"/>
  <c r="AO25" i="5" s="1"/>
  <c r="AD30" i="5"/>
  <c r="AD25" i="5" s="1"/>
  <c r="Z30" i="5"/>
  <c r="Z25" i="5" s="1"/>
  <c r="AL30" i="5"/>
  <c r="AL25" i="5" s="1"/>
  <c r="C84" i="5"/>
  <c r="D83" i="5"/>
  <c r="BW30" i="5"/>
  <c r="BW25" i="5" s="1"/>
  <c r="C80" i="5"/>
  <c r="AY30" i="5"/>
  <c r="AY25" i="5" s="1"/>
  <c r="AA30" i="5"/>
  <c r="AA25" i="5" s="1"/>
  <c r="D80" i="5"/>
  <c r="BK30" i="5"/>
  <c r="BK25" i="5" s="1"/>
  <c r="C83" i="5"/>
  <c r="AB17" i="5"/>
  <c r="AD17" i="5"/>
  <c r="AM30" i="5"/>
  <c r="Z17" i="5"/>
  <c r="AC17" i="5"/>
  <c r="AA17" i="5"/>
  <c r="AM17" i="5"/>
  <c r="AM12" i="5" s="1"/>
  <c r="AY17" i="5"/>
  <c r="AY12" i="5" s="1"/>
  <c r="BK17" i="5"/>
  <c r="BW17" i="5"/>
  <c r="BW12" i="5" s="1"/>
  <c r="E79" i="5" l="1"/>
  <c r="G79" i="5"/>
  <c r="I66" i="5"/>
  <c r="I79" i="5"/>
  <c r="D79" i="5"/>
  <c r="H79" i="5"/>
  <c r="F66" i="5"/>
  <c r="G66" i="5"/>
  <c r="F84" i="5"/>
  <c r="AM25" i="5"/>
  <c r="F79" i="5" s="1"/>
  <c r="AD12" i="5"/>
  <c r="AA12" i="5"/>
  <c r="Y12" i="5"/>
  <c r="H71" i="5"/>
  <c r="G12" i="16" s="1"/>
  <c r="BK12" i="5"/>
  <c r="H66" i="5" s="1"/>
  <c r="AC12" i="5"/>
  <c r="Z12" i="5"/>
  <c r="AB12" i="5"/>
  <c r="E84" i="5"/>
  <c r="D84" i="5"/>
  <c r="I71" i="5"/>
  <c r="H12" i="16" s="1"/>
  <c r="I84" i="5"/>
  <c r="F71" i="5"/>
  <c r="E12" i="16" s="1"/>
  <c r="G71" i="5"/>
  <c r="F12" i="16" s="1"/>
  <c r="H84" i="5"/>
  <c r="G84" i="5"/>
  <c r="D71" i="5"/>
  <c r="C12" i="16" s="1"/>
  <c r="E71" i="5"/>
  <c r="D12" i="16" s="1"/>
  <c r="E66" i="5" l="1"/>
  <c r="D66" i="5"/>
  <c r="G14" i="18"/>
  <c r="E14" i="18" s="1"/>
  <c r="C81" i="18" l="1"/>
  <c r="R132" i="18"/>
  <c r="D20" i="5"/>
  <c r="G73" i="18"/>
  <c r="C7" i="42"/>
  <c r="C8" i="42" s="1"/>
  <c r="BJ81" i="18" l="1"/>
  <c r="BJ85" i="18" s="1"/>
  <c r="BJ125" i="18" s="1"/>
  <c r="CD81" i="18"/>
  <c r="CD85" i="18" s="1"/>
  <c r="CD125" i="18" s="1"/>
  <c r="BX81" i="18"/>
  <c r="BX85" i="18" s="1"/>
  <c r="BX125" i="18" s="1"/>
  <c r="AV81" i="18"/>
  <c r="AV85" i="18" s="1"/>
  <c r="AV125" i="18" s="1"/>
  <c r="AF81" i="18"/>
  <c r="AF85" i="18" s="1"/>
  <c r="AF125" i="18" s="1"/>
  <c r="BD81" i="18"/>
  <c r="BD85" i="18" s="1"/>
  <c r="BD125" i="18" s="1"/>
  <c r="DL81" i="18"/>
  <c r="DL85" i="18" s="1"/>
  <c r="DL125" i="18" s="1"/>
  <c r="AX81" i="18"/>
  <c r="AX85" i="18" s="1"/>
  <c r="AX125" i="18" s="1"/>
  <c r="CN81" i="18"/>
  <c r="CN85" i="18" s="1"/>
  <c r="CN125" i="18" s="1"/>
  <c r="CE81" i="18"/>
  <c r="CE85" i="18" s="1"/>
  <c r="CE125" i="18" s="1"/>
  <c r="BA81" i="18"/>
  <c r="BA85" i="18" s="1"/>
  <c r="BA125" i="18" s="1"/>
  <c r="R81" i="18"/>
  <c r="R85" i="18" s="1"/>
  <c r="R125" i="18" s="1"/>
  <c r="BL81" i="18"/>
  <c r="BL85" i="18" s="1"/>
  <c r="BL125" i="18" s="1"/>
  <c r="BB81" i="18"/>
  <c r="BB85" i="18" s="1"/>
  <c r="BB125" i="18" s="1"/>
  <c r="BH81" i="18"/>
  <c r="BH85" i="18" s="1"/>
  <c r="BH125" i="18" s="1"/>
  <c r="DF81" i="18"/>
  <c r="DF85" i="18" s="1"/>
  <c r="DF125" i="18" s="1"/>
  <c r="DQ81" i="18"/>
  <c r="DQ85" i="18" s="1"/>
  <c r="DQ125" i="18" s="1"/>
  <c r="CR81" i="18"/>
  <c r="CR85" i="18" s="1"/>
  <c r="CR125" i="18" s="1"/>
  <c r="X81" i="18"/>
  <c r="X85" i="18" s="1"/>
  <c r="X125" i="18" s="1"/>
  <c r="DN81" i="18"/>
  <c r="DN85" i="18" s="1"/>
  <c r="DN125" i="18" s="1"/>
  <c r="BS81" i="18"/>
  <c r="BS85" i="18" s="1"/>
  <c r="BS125" i="18" s="1"/>
  <c r="AH81" i="18"/>
  <c r="AH85" i="18" s="1"/>
  <c r="AH125" i="18" s="1"/>
  <c r="AG81" i="18"/>
  <c r="AG85" i="18" s="1"/>
  <c r="AG125" i="18" s="1"/>
  <c r="AP81" i="18"/>
  <c r="AP85" i="18" s="1"/>
  <c r="AP125" i="18" s="1"/>
  <c r="CC81" i="18"/>
  <c r="CC85" i="18" s="1"/>
  <c r="CC125" i="18" s="1"/>
  <c r="BK81" i="18"/>
  <c r="BK85" i="18" s="1"/>
  <c r="BK125" i="18" s="1"/>
  <c r="CW81" i="18"/>
  <c r="CW85" i="18" s="1"/>
  <c r="CW125" i="18" s="1"/>
  <c r="CS81" i="18"/>
  <c r="CS85" i="18" s="1"/>
  <c r="CS125" i="18" s="1"/>
  <c r="CF81" i="18"/>
  <c r="CF85" i="18" s="1"/>
  <c r="CF125" i="18" s="1"/>
  <c r="C80" i="18"/>
  <c r="CM81" i="18"/>
  <c r="CM85" i="18" s="1"/>
  <c r="CM125" i="18" s="1"/>
  <c r="AZ81" i="18"/>
  <c r="AZ85" i="18" s="1"/>
  <c r="AZ125" i="18" s="1"/>
  <c r="CB81" i="18"/>
  <c r="CB85" i="18" s="1"/>
  <c r="CB125" i="18" s="1"/>
  <c r="DM81" i="18"/>
  <c r="DM85" i="18" s="1"/>
  <c r="DM125" i="18" s="1"/>
  <c r="V81" i="18"/>
  <c r="V85" i="18" s="1"/>
  <c r="V125" i="18" s="1"/>
  <c r="CQ81" i="18"/>
  <c r="CQ85" i="18" s="1"/>
  <c r="CQ125" i="18" s="1"/>
  <c r="BP81" i="18"/>
  <c r="BP85" i="18" s="1"/>
  <c r="BP125" i="18" s="1"/>
  <c r="Z81" i="18"/>
  <c r="Z85" i="18" s="1"/>
  <c r="Z125" i="18" s="1"/>
  <c r="CZ81" i="18"/>
  <c r="CZ85" i="18" s="1"/>
  <c r="CZ125" i="18" s="1"/>
  <c r="DJ81" i="18"/>
  <c r="DJ85" i="18" s="1"/>
  <c r="DJ125" i="18" s="1"/>
  <c r="DH81" i="18"/>
  <c r="DH85" i="18" s="1"/>
  <c r="DH125" i="18" s="1"/>
  <c r="DB81" i="18"/>
  <c r="DB85" i="18" s="1"/>
  <c r="DB125" i="18" s="1"/>
  <c r="AS81" i="18"/>
  <c r="AS85" i="18" s="1"/>
  <c r="AS125" i="18" s="1"/>
  <c r="DG81" i="18"/>
  <c r="DG85" i="18" s="1"/>
  <c r="DG125" i="18" s="1"/>
  <c r="DE81" i="18"/>
  <c r="DE85" i="18" s="1"/>
  <c r="DE125" i="18" s="1"/>
  <c r="AM81" i="18"/>
  <c r="AM85" i="18" s="1"/>
  <c r="AM125" i="18" s="1"/>
  <c r="BN81" i="18"/>
  <c r="BN85" i="18" s="1"/>
  <c r="BN125" i="18" s="1"/>
  <c r="DR81" i="18"/>
  <c r="DR85" i="18" s="1"/>
  <c r="DR125" i="18" s="1"/>
  <c r="CO81" i="18"/>
  <c r="CO85" i="18" s="1"/>
  <c r="CO125" i="18" s="1"/>
  <c r="AA81" i="18"/>
  <c r="AA85" i="18" s="1"/>
  <c r="AA125" i="18" s="1"/>
  <c r="AQ81" i="18"/>
  <c r="AQ85" i="18" s="1"/>
  <c r="AQ125" i="18" s="1"/>
  <c r="BZ81" i="18"/>
  <c r="BZ85" i="18" s="1"/>
  <c r="BZ125" i="18" s="1"/>
  <c r="BI81" i="18"/>
  <c r="BI85" i="18" s="1"/>
  <c r="BI125" i="18" s="1"/>
  <c r="CA81" i="18"/>
  <c r="CA85" i="18" s="1"/>
  <c r="CA125" i="18" s="1"/>
  <c r="CG81" i="18"/>
  <c r="CG85" i="18" s="1"/>
  <c r="CG125" i="18" s="1"/>
  <c r="BF81" i="18"/>
  <c r="BF85" i="18" s="1"/>
  <c r="BF125" i="18" s="1"/>
  <c r="BW81" i="18"/>
  <c r="BW85" i="18" s="1"/>
  <c r="BW125" i="18" s="1"/>
  <c r="CU81" i="18"/>
  <c r="CU85" i="18" s="1"/>
  <c r="CU125" i="18" s="1"/>
  <c r="BT81" i="18"/>
  <c r="BT85" i="18" s="1"/>
  <c r="BT125" i="18" s="1"/>
  <c r="CT81" i="18"/>
  <c r="CT85" i="18" s="1"/>
  <c r="CT125" i="18" s="1"/>
  <c r="CY81" i="18"/>
  <c r="CY85" i="18" s="1"/>
  <c r="CY125" i="18" s="1"/>
  <c r="BQ81" i="18"/>
  <c r="BQ85" i="18" s="1"/>
  <c r="BQ125" i="18" s="1"/>
  <c r="AT81" i="18"/>
  <c r="AT85" i="18" s="1"/>
  <c r="AT125" i="18" s="1"/>
  <c r="DS81" i="18"/>
  <c r="DS85" i="18" s="1"/>
  <c r="DS125" i="18" s="1"/>
  <c r="BY81" i="18"/>
  <c r="BY85" i="18" s="1"/>
  <c r="BY125" i="18" s="1"/>
  <c r="CV81" i="18"/>
  <c r="CV85" i="18" s="1"/>
  <c r="CV125" i="18" s="1"/>
  <c r="DI81" i="18"/>
  <c r="DI85" i="18" s="1"/>
  <c r="DI125" i="18" s="1"/>
  <c r="BC81" i="18"/>
  <c r="BC85" i="18" s="1"/>
  <c r="BC125" i="18" s="1"/>
  <c r="AL81" i="18"/>
  <c r="AL85" i="18" s="1"/>
  <c r="AL125" i="18" s="1"/>
  <c r="BU81" i="18"/>
  <c r="BU85" i="18" s="1"/>
  <c r="BU125" i="18" s="1"/>
  <c r="AJ81" i="18"/>
  <c r="AJ85" i="18" s="1"/>
  <c r="AJ125" i="18" s="1"/>
  <c r="AY81" i="18"/>
  <c r="AY85" i="18" s="1"/>
  <c r="AY125" i="18" s="1"/>
  <c r="AB81" i="18"/>
  <c r="AB85" i="18" s="1"/>
  <c r="AB125" i="18" s="1"/>
  <c r="Q81" i="18"/>
  <c r="Q85" i="18" s="1"/>
  <c r="Q125" i="18" s="1"/>
  <c r="C10" i="16" s="1"/>
  <c r="DO81" i="18"/>
  <c r="DO85" i="18" s="1"/>
  <c r="DO125" i="18" s="1"/>
  <c r="BR81" i="18"/>
  <c r="BR85" i="18" s="1"/>
  <c r="BR125" i="18" s="1"/>
  <c r="DT81" i="18"/>
  <c r="DT85" i="18" s="1"/>
  <c r="DT125" i="18" s="1"/>
  <c r="T81" i="18"/>
  <c r="T85" i="18" s="1"/>
  <c r="T125" i="18" s="1"/>
  <c r="AR81" i="18"/>
  <c r="AR85" i="18" s="1"/>
  <c r="AR125" i="18" s="1"/>
  <c r="AW81" i="18"/>
  <c r="AW85" i="18" s="1"/>
  <c r="AW125" i="18" s="1"/>
  <c r="DC81" i="18"/>
  <c r="DC85" i="18" s="1"/>
  <c r="DC125" i="18" s="1"/>
  <c r="AD81" i="18"/>
  <c r="AD85" i="18" s="1"/>
  <c r="AD125" i="18" s="1"/>
  <c r="CL81" i="18"/>
  <c r="CL85" i="18" s="1"/>
  <c r="CL125" i="18" s="1"/>
  <c r="Y81" i="18"/>
  <c r="Y85" i="18" s="1"/>
  <c r="Y125" i="18" s="1"/>
  <c r="BG81" i="18"/>
  <c r="BG85" i="18" s="1"/>
  <c r="BG125" i="18" s="1"/>
  <c r="AE81" i="18"/>
  <c r="AE85" i="18" s="1"/>
  <c r="AE125" i="18" s="1"/>
  <c r="BO81" i="18"/>
  <c r="BO85" i="18" s="1"/>
  <c r="BO125" i="18" s="1"/>
  <c r="CK81" i="18"/>
  <c r="CK85" i="18" s="1"/>
  <c r="CK125" i="18" s="1"/>
  <c r="AI81" i="18"/>
  <c r="AI85" i="18" s="1"/>
  <c r="AI125" i="18" s="1"/>
  <c r="CH81" i="18"/>
  <c r="CH85" i="18" s="1"/>
  <c r="CH125" i="18" s="1"/>
  <c r="DK81" i="18"/>
  <c r="DK85" i="18" s="1"/>
  <c r="DK125" i="18" s="1"/>
  <c r="AK81" i="18"/>
  <c r="AK85" i="18" s="1"/>
  <c r="AK125" i="18" s="1"/>
  <c r="DU81" i="18"/>
  <c r="DU85" i="18" s="1"/>
  <c r="DU125" i="18" s="1"/>
  <c r="BM81" i="18"/>
  <c r="BM85" i="18" s="1"/>
  <c r="BM125" i="18" s="1"/>
  <c r="W81" i="18"/>
  <c r="W85" i="18" s="1"/>
  <c r="W125" i="18" s="1"/>
  <c r="CI81" i="18"/>
  <c r="CI85" i="18" s="1"/>
  <c r="CI125" i="18" s="1"/>
  <c r="DP81" i="18"/>
  <c r="DP85" i="18" s="1"/>
  <c r="DP125" i="18" s="1"/>
  <c r="CX81" i="18"/>
  <c r="CX85" i="18" s="1"/>
  <c r="CX125" i="18" s="1"/>
  <c r="BE81" i="18"/>
  <c r="BE85" i="18" s="1"/>
  <c r="BE125" i="18" s="1"/>
  <c r="BV81" i="18"/>
  <c r="BV85" i="18" s="1"/>
  <c r="BV125" i="18" s="1"/>
  <c r="CP81" i="18"/>
  <c r="CP85" i="18" s="1"/>
  <c r="CP125" i="18" s="1"/>
  <c r="AC81" i="18"/>
  <c r="AC85" i="18" s="1"/>
  <c r="AC125" i="18" s="1"/>
  <c r="AN81" i="18"/>
  <c r="AN85" i="18" s="1"/>
  <c r="AN125" i="18" s="1"/>
  <c r="DA81" i="18"/>
  <c r="DA85" i="18" s="1"/>
  <c r="DA125" i="18" s="1"/>
  <c r="CJ81" i="18"/>
  <c r="CJ85" i="18" s="1"/>
  <c r="CJ125" i="18" s="1"/>
  <c r="DD81" i="18"/>
  <c r="DD85" i="18" s="1"/>
  <c r="DD125" i="18" s="1"/>
  <c r="AU81" i="18"/>
  <c r="AU85" i="18" s="1"/>
  <c r="AU125" i="18" s="1"/>
  <c r="U81" i="18"/>
  <c r="U85" i="18" s="1"/>
  <c r="U125" i="18" s="1"/>
  <c r="AO81" i="18"/>
  <c r="AO85" i="18" s="1"/>
  <c r="AO125" i="18" s="1"/>
  <c r="S81" i="18"/>
  <c r="S85" i="18" s="1"/>
  <c r="S125" i="18" s="1"/>
  <c r="P86" i="18"/>
  <c r="C9" i="42"/>
  <c r="D8" i="42"/>
  <c r="E73" i="18"/>
  <c r="G74" i="18"/>
  <c r="D19" i="5"/>
  <c r="C74" i="5"/>
  <c r="N74" i="5" s="1"/>
  <c r="O75" i="5" s="1"/>
  <c r="B4" i="1"/>
  <c r="D9" i="42" l="1"/>
  <c r="D13" i="42" s="1"/>
  <c r="E11" i="5" s="1"/>
  <c r="E6" i="5" s="1"/>
  <c r="E8" i="42"/>
  <c r="D18" i="5"/>
  <c r="K10" i="16"/>
  <c r="E10" i="16"/>
  <c r="G10" i="16"/>
  <c r="J10" i="16"/>
  <c r="H10" i="16"/>
  <c r="R135" i="18"/>
  <c r="E74" i="18"/>
  <c r="P126" i="18"/>
  <c r="Q86" i="18"/>
  <c r="P90" i="18"/>
  <c r="D5" i="5"/>
  <c r="C13" i="42"/>
  <c r="D11" i="5" s="1"/>
  <c r="I10" i="16"/>
  <c r="L10" i="16"/>
  <c r="F10" i="16"/>
  <c r="D10" i="16"/>
  <c r="E31" i="5" l="1"/>
  <c r="S131" i="18"/>
  <c r="S134" i="18"/>
  <c r="S133" i="18"/>
  <c r="S132" i="18"/>
  <c r="C59" i="5"/>
  <c r="D4" i="5"/>
  <c r="E9" i="42"/>
  <c r="F8" i="42"/>
  <c r="D6" i="5"/>
  <c r="Q90" i="18"/>
  <c r="R86" i="18"/>
  <c r="Q126" i="18"/>
  <c r="Q127" i="18" s="1"/>
  <c r="S135" i="18"/>
  <c r="D31" i="5" l="1"/>
  <c r="C58" i="5"/>
  <c r="D34" i="5"/>
  <c r="E33" i="5" s="1"/>
  <c r="E34" i="5" s="1"/>
  <c r="F33" i="5" s="1"/>
  <c r="G75" i="18"/>
  <c r="E13" i="42"/>
  <c r="F11" i="5" s="1"/>
  <c r="F9" i="42"/>
  <c r="F13" i="42" s="1"/>
  <c r="G11" i="5" s="1"/>
  <c r="G6" i="5" s="1"/>
  <c r="G8" i="42"/>
  <c r="R126" i="18"/>
  <c r="S86" i="18"/>
  <c r="R90" i="18"/>
  <c r="F6" i="5" l="1"/>
  <c r="G9" i="42"/>
  <c r="H8" i="42"/>
  <c r="S126" i="18"/>
  <c r="S90" i="18"/>
  <c r="T86" i="18"/>
  <c r="G31" i="5"/>
  <c r="G76" i="18"/>
  <c r="H9" i="42" l="1"/>
  <c r="H13" i="42" s="1"/>
  <c r="I11" i="5" s="1"/>
  <c r="I6" i="5" s="1"/>
  <c r="I8" i="42"/>
  <c r="F31" i="5"/>
  <c r="F34" i="5"/>
  <c r="G33" i="5" s="1"/>
  <c r="G34" i="5" s="1"/>
  <c r="H33" i="5" s="1"/>
  <c r="T90" i="18"/>
  <c r="U86" i="18"/>
  <c r="T126" i="18"/>
  <c r="T127" i="18" s="1"/>
  <c r="G13" i="42"/>
  <c r="H11" i="5" s="1"/>
  <c r="I31" i="5" l="1"/>
  <c r="J8" i="42"/>
  <c r="I9" i="42"/>
  <c r="I13" i="42" s="1"/>
  <c r="J11" i="5" s="1"/>
  <c r="J6" i="5" s="1"/>
  <c r="H6" i="5"/>
  <c r="V86" i="18"/>
  <c r="U126" i="18"/>
  <c r="U90" i="18"/>
  <c r="H34" i="5" l="1"/>
  <c r="I33" i="5" s="1"/>
  <c r="I34" i="5" s="1"/>
  <c r="J33" i="5" s="1"/>
  <c r="J34" i="5" s="1"/>
  <c r="K33" i="5" s="1"/>
  <c r="H31" i="5"/>
  <c r="V126" i="18"/>
  <c r="W86" i="18"/>
  <c r="V90" i="18"/>
  <c r="J9" i="42"/>
  <c r="K8" i="42"/>
  <c r="J31" i="5"/>
  <c r="W90" i="18" l="1"/>
  <c r="W126" i="18"/>
  <c r="W127" i="18" s="1"/>
  <c r="X86" i="18"/>
  <c r="J32" i="5"/>
  <c r="J13" i="42"/>
  <c r="K11" i="5" s="1"/>
  <c r="K9" i="42"/>
  <c r="K13" i="42" s="1"/>
  <c r="L11" i="5" s="1"/>
  <c r="L6" i="5" s="1"/>
  <c r="L8" i="42"/>
  <c r="L31" i="5" l="1"/>
  <c r="L9" i="42"/>
  <c r="L13" i="42" s="1"/>
  <c r="M11" i="5" s="1"/>
  <c r="M6" i="5" s="1"/>
  <c r="M8" i="42"/>
  <c r="J37" i="5"/>
  <c r="K6" i="5"/>
  <c r="X126" i="18"/>
  <c r="X90" i="18"/>
  <c r="Y86" i="18"/>
  <c r="M31" i="5" l="1"/>
  <c r="Y90" i="18"/>
  <c r="Z86" i="18"/>
  <c r="Y126" i="18"/>
  <c r="K34" i="5"/>
  <c r="L33" i="5" s="1"/>
  <c r="L34" i="5" s="1"/>
  <c r="M33" i="5" s="1"/>
  <c r="M34" i="5" s="1"/>
  <c r="N33" i="5" s="1"/>
  <c r="K31" i="5"/>
  <c r="M9" i="42"/>
  <c r="N8" i="42"/>
  <c r="K32" i="5" l="1"/>
  <c r="Z126" i="18"/>
  <c r="Z127" i="18" s="1"/>
  <c r="AA86" i="18"/>
  <c r="Z90" i="18"/>
  <c r="M13" i="42"/>
  <c r="N11" i="5" s="1"/>
  <c r="B18" i="42"/>
  <c r="N9" i="42"/>
  <c r="O8" i="42"/>
  <c r="O9" i="42" l="1"/>
  <c r="O13" i="42" s="1"/>
  <c r="P11" i="5" s="1"/>
  <c r="P8" i="42"/>
  <c r="N19" i="5"/>
  <c r="N6" i="5"/>
  <c r="C65" i="5"/>
  <c r="K37" i="5"/>
  <c r="L32" i="5"/>
  <c r="B7" i="16"/>
  <c r="B8" i="16" s="1"/>
  <c r="B11" i="16" s="1"/>
  <c r="B13" i="16" s="1"/>
  <c r="N13" i="42"/>
  <c r="O11" i="5" s="1"/>
  <c r="AA90" i="18"/>
  <c r="AA126" i="18"/>
  <c r="AB86" i="18"/>
  <c r="P6" i="5" l="1"/>
  <c r="P19" i="5"/>
  <c r="P18" i="5" s="1"/>
  <c r="S75" i="18" s="1"/>
  <c r="S76" i="18" s="1"/>
  <c r="P9" i="42"/>
  <c r="P13" i="42" s="1"/>
  <c r="Q11" i="5" s="1"/>
  <c r="Q8" i="42"/>
  <c r="B14" i="16"/>
  <c r="B20" i="42" s="1"/>
  <c r="B22" i="42" s="1"/>
  <c r="N18" i="5"/>
  <c r="C73" i="5"/>
  <c r="AB126" i="18"/>
  <c r="AB90" i="18"/>
  <c r="AC86" i="18"/>
  <c r="L37" i="5"/>
  <c r="M32" i="5"/>
  <c r="O6" i="5"/>
  <c r="O19" i="5"/>
  <c r="N34" i="5"/>
  <c r="O33" i="5" s="1"/>
  <c r="N31" i="5"/>
  <c r="C60" i="5"/>
  <c r="O31" i="5" l="1"/>
  <c r="AC126" i="18"/>
  <c r="AC127" i="18" s="1"/>
  <c r="AC90" i="18"/>
  <c r="AD86" i="18"/>
  <c r="P31" i="5"/>
  <c r="O18" i="5"/>
  <c r="O34" i="5" s="1"/>
  <c r="P33" i="5" s="1"/>
  <c r="P34" i="5" s="1"/>
  <c r="Q33" i="5" s="1"/>
  <c r="Q6" i="5"/>
  <c r="Q19" i="5"/>
  <c r="Q18" i="5" s="1"/>
  <c r="T75" i="18" s="1"/>
  <c r="T76" i="18" s="1"/>
  <c r="B15" i="16"/>
  <c r="M37" i="5"/>
  <c r="N32" i="5"/>
  <c r="C85" i="5"/>
  <c r="Q75" i="18"/>
  <c r="C72" i="5"/>
  <c r="Q9" i="42"/>
  <c r="R8" i="42"/>
  <c r="N37" i="5" l="1"/>
  <c r="O32" i="5"/>
  <c r="C86" i="5"/>
  <c r="Q34" i="5"/>
  <c r="R33" i="5" s="1"/>
  <c r="Q31" i="5"/>
  <c r="Q13" i="42"/>
  <c r="R11" i="5" s="1"/>
  <c r="R9" i="42"/>
  <c r="R13" i="42" s="1"/>
  <c r="S11" i="5" s="1"/>
  <c r="S6" i="5" s="1"/>
  <c r="S8" i="42"/>
  <c r="B16" i="16"/>
  <c r="B17" i="16"/>
  <c r="B18" i="16" s="1"/>
  <c r="AD90" i="18"/>
  <c r="AD126" i="18"/>
  <c r="AE86" i="18"/>
  <c r="Q76" i="18"/>
  <c r="R75" i="18"/>
  <c r="R76" i="18" s="1"/>
  <c r="S31" i="5" l="1"/>
  <c r="S9" i="42"/>
  <c r="S13" i="42" s="1"/>
  <c r="T11" i="5" s="1"/>
  <c r="T8" i="42"/>
  <c r="O37" i="5"/>
  <c r="P32" i="5"/>
  <c r="AE90" i="18"/>
  <c r="AE126" i="18"/>
  <c r="AF86" i="18"/>
  <c r="R19" i="5"/>
  <c r="R6" i="5"/>
  <c r="T9" i="42" l="1"/>
  <c r="U8" i="42"/>
  <c r="R31" i="5"/>
  <c r="AF90" i="18"/>
  <c r="AG86" i="18"/>
  <c r="AF126" i="18"/>
  <c r="AF127" i="18" s="1"/>
  <c r="R18" i="5"/>
  <c r="P37" i="5"/>
  <c r="Q32" i="5"/>
  <c r="T19" i="5"/>
  <c r="T18" i="5" s="1"/>
  <c r="W75" i="18" s="1"/>
  <c r="W76" i="18" s="1"/>
  <c r="T6" i="5"/>
  <c r="T31" i="5" l="1"/>
  <c r="AG90" i="18"/>
  <c r="AG126" i="18"/>
  <c r="AH86" i="18"/>
  <c r="T13" i="42"/>
  <c r="U11" i="5" s="1"/>
  <c r="Q37" i="5"/>
  <c r="R32" i="5"/>
  <c r="U75" i="18"/>
  <c r="U9" i="42"/>
  <c r="U13" i="42" s="1"/>
  <c r="V11" i="5" s="1"/>
  <c r="V8" i="42"/>
  <c r="R34" i="5"/>
  <c r="S33" i="5" s="1"/>
  <c r="S34" i="5" s="1"/>
  <c r="T33" i="5" s="1"/>
  <c r="T34" i="5" s="1"/>
  <c r="U33" i="5" s="1"/>
  <c r="V9" i="42" l="1"/>
  <c r="V13" i="42" s="1"/>
  <c r="W11" i="5" s="1"/>
  <c r="W8" i="42"/>
  <c r="AI86" i="18"/>
  <c r="AH126" i="18"/>
  <c r="AH90" i="18"/>
  <c r="V19" i="5"/>
  <c r="V18" i="5" s="1"/>
  <c r="Y75" i="18" s="1"/>
  <c r="Y76" i="18" s="1"/>
  <c r="V6" i="5"/>
  <c r="R37" i="5"/>
  <c r="S32" i="5"/>
  <c r="U76" i="18"/>
  <c r="U19" i="5"/>
  <c r="U6" i="5"/>
  <c r="V31" i="5" l="1"/>
  <c r="AI126" i="18"/>
  <c r="AI127" i="18" s="1"/>
  <c r="AI90" i="18"/>
  <c r="AJ86" i="18"/>
  <c r="U18" i="5"/>
  <c r="U31" i="5"/>
  <c r="U34" i="5"/>
  <c r="V33" i="5" s="1"/>
  <c r="V34" i="5" s="1"/>
  <c r="W33" i="5" s="1"/>
  <c r="S37" i="5"/>
  <c r="T32" i="5"/>
  <c r="W19" i="5"/>
  <c r="W18" i="5" s="1"/>
  <c r="Z75" i="18" s="1"/>
  <c r="Z76" i="18" s="1"/>
  <c r="W6" i="5"/>
  <c r="W9" i="42"/>
  <c r="W13" i="42" s="1"/>
  <c r="X11" i="5" s="1"/>
  <c r="X8" i="42"/>
  <c r="X6" i="5" l="1"/>
  <c r="X9" i="42"/>
  <c r="X13" i="42" s="1"/>
  <c r="Y11" i="5" s="1"/>
  <c r="Y8" i="42"/>
  <c r="T37" i="5"/>
  <c r="U32" i="5"/>
  <c r="AJ90" i="18"/>
  <c r="AK86" i="18"/>
  <c r="AJ126" i="18"/>
  <c r="W34" i="5"/>
  <c r="X33" i="5" s="1"/>
  <c r="W31" i="5"/>
  <c r="X75" i="18"/>
  <c r="X34" i="5" l="1"/>
  <c r="Y33" i="5" s="1"/>
  <c r="X31" i="5"/>
  <c r="AK126" i="18"/>
  <c r="AL86" i="18"/>
  <c r="AK90" i="18"/>
  <c r="U37" i="5"/>
  <c r="V32" i="5"/>
  <c r="X76" i="18"/>
  <c r="Y6" i="5"/>
  <c r="Y19" i="5"/>
  <c r="Y9" i="42"/>
  <c r="Z8" i="42"/>
  <c r="AA8" i="42" l="1"/>
  <c r="Z9" i="42"/>
  <c r="Y31" i="5"/>
  <c r="Y18" i="5"/>
  <c r="B3" i="1"/>
  <c r="D73" i="5"/>
  <c r="N73" i="5" s="1"/>
  <c r="V37" i="5"/>
  <c r="W32" i="5"/>
  <c r="Y13" i="42"/>
  <c r="Z11" i="5" s="1"/>
  <c r="C18" i="42"/>
  <c r="AL90" i="18"/>
  <c r="AM86" i="18"/>
  <c r="AL126" i="18"/>
  <c r="AL127" i="18" s="1"/>
  <c r="AA9" i="42" l="1"/>
  <c r="AA13" i="42" s="1"/>
  <c r="AB11" i="5" s="1"/>
  <c r="AB6" i="5" s="1"/>
  <c r="AB8" i="42"/>
  <c r="AM90" i="18"/>
  <c r="AM126" i="18"/>
  <c r="AN86" i="18"/>
  <c r="W37" i="5"/>
  <c r="X32" i="5"/>
  <c r="AB75" i="18"/>
  <c r="D72" i="5"/>
  <c r="Z13" i="42"/>
  <c r="AA11" i="5" s="1"/>
  <c r="B5" i="1"/>
  <c r="C4" i="1" s="1"/>
  <c r="B16" i="39" s="1"/>
  <c r="Z6" i="5"/>
  <c r="D65" i="5"/>
  <c r="C7" i="16"/>
  <c r="C8" i="16" s="1"/>
  <c r="Y34" i="5"/>
  <c r="Z33" i="5" s="1"/>
  <c r="C3" i="1" l="1"/>
  <c r="B15" i="39" s="1"/>
  <c r="B20" i="39" s="1"/>
  <c r="B7" i="1" s="1"/>
  <c r="B13" i="34" s="1"/>
  <c r="AN126" i="18"/>
  <c r="AN90" i="18"/>
  <c r="AO86" i="18"/>
  <c r="AB31" i="5"/>
  <c r="AB9" i="42"/>
  <c r="AB13" i="42" s="1"/>
  <c r="AC11" i="5" s="1"/>
  <c r="AC6" i="5" s="1"/>
  <c r="AC8" i="42"/>
  <c r="C9" i="16"/>
  <c r="C11" i="16"/>
  <c r="C13" i="16" s="1"/>
  <c r="X37" i="5"/>
  <c r="Y32" i="5"/>
  <c r="AA6" i="5"/>
  <c r="Z34" i="5"/>
  <c r="AA33" i="5" s="1"/>
  <c r="Z31" i="5"/>
  <c r="D60" i="5"/>
  <c r="AB76" i="18"/>
  <c r="E75" i="18"/>
  <c r="E76" i="18" s="1"/>
  <c r="B10" i="34" s="1"/>
  <c r="C51" i="5" l="1"/>
  <c r="D51" i="5" s="1"/>
  <c r="D7" i="1"/>
  <c r="C7" i="1"/>
  <c r="D85" i="5"/>
  <c r="C14" i="16"/>
  <c r="C20" i="42" s="1"/>
  <c r="C22" i="42" s="1"/>
  <c r="AA34" i="5"/>
  <c r="AB33" i="5" s="1"/>
  <c r="AB34" i="5" s="1"/>
  <c r="AC33" i="5" s="1"/>
  <c r="AC34" i="5" s="1"/>
  <c r="AD33" i="5" s="1"/>
  <c r="AA31" i="5"/>
  <c r="AC31" i="5"/>
  <c r="Y37" i="5"/>
  <c r="Z32" i="5"/>
  <c r="AC9" i="42"/>
  <c r="AD8" i="42"/>
  <c r="AO126" i="18"/>
  <c r="AO127" i="18" s="1"/>
  <c r="AO90" i="18"/>
  <c r="AP86" i="18"/>
  <c r="AG52" i="5"/>
  <c r="DF52" i="5"/>
  <c r="BB52" i="5"/>
  <c r="BO52" i="5"/>
  <c r="DX52" i="5"/>
  <c r="AW52" i="5"/>
  <c r="BI52" i="5"/>
  <c r="CB52" i="5"/>
  <c r="DQ52" i="5"/>
  <c r="CG52" i="5"/>
  <c r="AZ52" i="5"/>
  <c r="BS52" i="5"/>
  <c r="BQ52" i="5"/>
  <c r="DG52" i="5"/>
  <c r="I52" i="5"/>
  <c r="CS52" i="5"/>
  <c r="AQ52" i="5"/>
  <c r="BX52" i="5"/>
  <c r="AN52" i="5"/>
  <c r="AF52" i="5"/>
  <c r="CE52" i="5"/>
  <c r="Y52" i="5"/>
  <c r="Y35" i="5" s="1"/>
  <c r="CM52" i="5"/>
  <c r="AA52" i="5"/>
  <c r="DS52" i="5"/>
  <c r="AL52" i="5"/>
  <c r="CV52" i="5"/>
  <c r="AS52" i="5"/>
  <c r="L52" i="5"/>
  <c r="L35" i="5" s="1"/>
  <c r="CK52" i="5"/>
  <c r="DC52" i="5"/>
  <c r="DO52" i="5"/>
  <c r="K52" i="5"/>
  <c r="K35" i="5" s="1"/>
  <c r="CR52" i="5"/>
  <c r="H52" i="5"/>
  <c r="AX52" i="5"/>
  <c r="J52" i="5"/>
  <c r="J35" i="5" s="1"/>
  <c r="J36" i="5" s="1"/>
  <c r="BE52" i="5"/>
  <c r="AK52" i="5"/>
  <c r="AY52" i="5"/>
  <c r="CZ52" i="5"/>
  <c r="AP52" i="5"/>
  <c r="P52" i="5"/>
  <c r="P35" i="5" s="1"/>
  <c r="G52" i="5"/>
  <c r="DM52" i="5"/>
  <c r="AI52" i="5"/>
  <c r="BP52" i="5"/>
  <c r="DE52" i="5"/>
  <c r="BR52" i="5"/>
  <c r="S52" i="5"/>
  <c r="S35" i="5" s="1"/>
  <c r="EA52" i="5"/>
  <c r="BD52" i="5"/>
  <c r="U52" i="5"/>
  <c r="U35" i="5" s="1"/>
  <c r="BW52" i="5"/>
  <c r="AU52" i="5"/>
  <c r="AD52" i="5"/>
  <c r="CL52" i="5"/>
  <c r="W52" i="5"/>
  <c r="W35" i="5" s="1"/>
  <c r="M52" i="5"/>
  <c r="M35" i="5" s="1"/>
  <c r="CW52" i="5"/>
  <c r="DY52" i="5"/>
  <c r="DA52" i="5"/>
  <c r="CT52" i="5"/>
  <c r="BU52" i="5"/>
  <c r="AH52" i="5"/>
  <c r="AV52" i="5"/>
  <c r="CY52" i="5"/>
  <c r="CD52" i="5"/>
  <c r="BN52" i="5"/>
  <c r="AT52" i="5"/>
  <c r="DN52" i="5"/>
  <c r="ED52" i="5"/>
  <c r="CO52" i="5"/>
  <c r="DJ52" i="5"/>
  <c r="BY52" i="5"/>
  <c r="DR52" i="5"/>
  <c r="O52" i="5"/>
  <c r="O35" i="5" s="1"/>
  <c r="DK52" i="5"/>
  <c r="BC52" i="5"/>
  <c r="DP52" i="5"/>
  <c r="AM52" i="5"/>
  <c r="AJ52" i="5"/>
  <c r="BK52" i="5"/>
  <c r="AO52" i="5"/>
  <c r="CJ52" i="5"/>
  <c r="BJ52" i="5"/>
  <c r="DW52" i="5"/>
  <c r="BL52" i="5"/>
  <c r="BA52" i="5"/>
  <c r="EB52" i="5"/>
  <c r="DL52" i="5"/>
  <c r="AE52" i="5"/>
  <c r="DV52" i="5"/>
  <c r="DT52" i="5"/>
  <c r="CX52" i="5"/>
  <c r="T52" i="5"/>
  <c r="T35" i="5" s="1"/>
  <c r="Q52" i="5"/>
  <c r="Q35" i="5" s="1"/>
  <c r="Z52" i="5"/>
  <c r="Z35" i="5" s="1"/>
  <c r="AC52" i="5"/>
  <c r="BH52" i="5"/>
  <c r="CC52" i="5"/>
  <c r="BM52" i="5"/>
  <c r="BT52" i="5"/>
  <c r="DZ52" i="5"/>
  <c r="CF52" i="5"/>
  <c r="CI52" i="5"/>
  <c r="DH52" i="5"/>
  <c r="CH52" i="5"/>
  <c r="BG52" i="5"/>
  <c r="BF52" i="5"/>
  <c r="R52" i="5"/>
  <c r="R35" i="5" s="1"/>
  <c r="DU52" i="5"/>
  <c r="CN52" i="5"/>
  <c r="AR52" i="5"/>
  <c r="DI52" i="5"/>
  <c r="CU52" i="5"/>
  <c r="CP52" i="5"/>
  <c r="AB52" i="5"/>
  <c r="AB35" i="5" s="1"/>
  <c r="X52" i="5"/>
  <c r="X35" i="5" s="1"/>
  <c r="BZ52" i="5"/>
  <c r="CQ52" i="5"/>
  <c r="DB52" i="5"/>
  <c r="N52" i="5"/>
  <c r="N35" i="5" s="1"/>
  <c r="BV52" i="5"/>
  <c r="CA52" i="5"/>
  <c r="DD52" i="5"/>
  <c r="EC52" i="5"/>
  <c r="V52" i="5"/>
  <c r="V35" i="5" s="1"/>
  <c r="AD9" i="42" l="1"/>
  <c r="AE8" i="42"/>
  <c r="AC35" i="5"/>
  <c r="J38" i="5"/>
  <c r="K36" i="5"/>
  <c r="Z37" i="5"/>
  <c r="AA32" i="5"/>
  <c r="D86" i="5"/>
  <c r="AA35" i="5"/>
  <c r="AQ86" i="18"/>
  <c r="AP126" i="18"/>
  <c r="AP90" i="18"/>
  <c r="AC13" i="42"/>
  <c r="AD11" i="5" s="1"/>
  <c r="C15" i="16"/>
  <c r="C17" i="16" l="1"/>
  <c r="C18" i="16" s="1"/>
  <c r="C16" i="16"/>
  <c r="K38" i="5"/>
  <c r="L36" i="5"/>
  <c r="AE9" i="42"/>
  <c r="AF8" i="42"/>
  <c r="AB32" i="5"/>
  <c r="AA37" i="5"/>
  <c r="AD6" i="5"/>
  <c r="AQ90" i="18"/>
  <c r="AQ126" i="18"/>
  <c r="AR86" i="18"/>
  <c r="AF9" i="42" l="1"/>
  <c r="AG8" i="42"/>
  <c r="AR126" i="18"/>
  <c r="AR127" i="18" s="1"/>
  <c r="AS86" i="18"/>
  <c r="AR90" i="18"/>
  <c r="AD34" i="5"/>
  <c r="AE33" i="5" s="1"/>
  <c r="AD31" i="5"/>
  <c r="AB37" i="5"/>
  <c r="AC32" i="5"/>
  <c r="L38" i="5"/>
  <c r="M36" i="5"/>
  <c r="AD35" i="5" l="1"/>
  <c r="M38" i="5"/>
  <c r="N36" i="5"/>
  <c r="AT86" i="18"/>
  <c r="AS90" i="18"/>
  <c r="AS126" i="18"/>
  <c r="AG9" i="42"/>
  <c r="AH8" i="42"/>
  <c r="AC37" i="5"/>
  <c r="AD32" i="5"/>
  <c r="N38" i="5" l="1"/>
  <c r="O36" i="5"/>
  <c r="AH9" i="42"/>
  <c r="AI8" i="42"/>
  <c r="AD37" i="5"/>
  <c r="AU86" i="18"/>
  <c r="AT126" i="18"/>
  <c r="AT90" i="18"/>
  <c r="AU127" i="18" l="1"/>
  <c r="AU126" i="18"/>
  <c r="AU90" i="18"/>
  <c r="AV86" i="18"/>
  <c r="AI9" i="42"/>
  <c r="AJ8" i="42"/>
  <c r="O38" i="5"/>
  <c r="P36" i="5"/>
  <c r="AV90" i="18" l="1"/>
  <c r="AV126" i="18"/>
  <c r="AW86" i="18"/>
  <c r="AJ9" i="42"/>
  <c r="AK8" i="42"/>
  <c r="P38" i="5"/>
  <c r="Q36" i="5"/>
  <c r="AK9" i="42" l="1"/>
  <c r="AL8" i="42"/>
  <c r="Q38" i="5"/>
  <c r="R36" i="5"/>
  <c r="AW126" i="18"/>
  <c r="AW90" i="18"/>
  <c r="AX86" i="18"/>
  <c r="AL9" i="42" l="1"/>
  <c r="AM8" i="42"/>
  <c r="R38" i="5"/>
  <c r="S36" i="5"/>
  <c r="D18" i="42"/>
  <c r="AY86" i="18"/>
  <c r="AX90" i="18"/>
  <c r="AX126" i="18"/>
  <c r="AX127" i="18" s="1"/>
  <c r="S38" i="5" l="1"/>
  <c r="T36" i="5"/>
  <c r="D7" i="16"/>
  <c r="D8" i="16" s="1"/>
  <c r="AM9" i="42"/>
  <c r="AN8" i="42"/>
  <c r="AY90" i="18"/>
  <c r="AY126" i="18"/>
  <c r="AZ86" i="18"/>
  <c r="T38" i="5" l="1"/>
  <c r="U36" i="5"/>
  <c r="AZ90" i="18"/>
  <c r="BA86" i="18"/>
  <c r="AZ126" i="18"/>
  <c r="AN9" i="42"/>
  <c r="AO8" i="42"/>
  <c r="D9" i="16"/>
  <c r="D11" i="16"/>
  <c r="D13" i="16" s="1"/>
  <c r="BA90" i="18" l="1"/>
  <c r="BB86" i="18"/>
  <c r="BA126" i="18"/>
  <c r="BA127" i="18" s="1"/>
  <c r="U38" i="5"/>
  <c r="V36" i="5"/>
  <c r="D14" i="16"/>
  <c r="D20" i="42" s="1"/>
  <c r="AO9" i="42"/>
  <c r="AP8" i="42"/>
  <c r="AD11" i="42" l="1"/>
  <c r="AD13" i="42" s="1"/>
  <c r="AE11" i="5" s="1"/>
  <c r="AG11" i="42"/>
  <c r="AG13" i="42" s="1"/>
  <c r="AH11" i="5" s="1"/>
  <c r="AH6" i="5" s="1"/>
  <c r="AI11" i="42"/>
  <c r="AI13" i="42" s="1"/>
  <c r="AJ11" i="5" s="1"/>
  <c r="AJ6" i="5" s="1"/>
  <c r="AE11" i="42"/>
  <c r="AE13" i="42" s="1"/>
  <c r="AF11" i="5" s="1"/>
  <c r="AF6" i="5" s="1"/>
  <c r="AK11" i="42"/>
  <c r="AK13" i="42" s="1"/>
  <c r="AL11" i="5" s="1"/>
  <c r="AL6" i="5" s="1"/>
  <c r="AJ11" i="42"/>
  <c r="AJ13" i="42" s="1"/>
  <c r="AK11" i="5" s="1"/>
  <c r="AK6" i="5" s="1"/>
  <c r="AH11" i="42"/>
  <c r="AH13" i="42" s="1"/>
  <c r="AI11" i="5" s="1"/>
  <c r="AI6" i="5" s="1"/>
  <c r="AF11" i="42"/>
  <c r="AF13" i="42" s="1"/>
  <c r="AG11" i="5" s="1"/>
  <c r="AG6" i="5" s="1"/>
  <c r="D22" i="42"/>
  <c r="BC86" i="18"/>
  <c r="BB90" i="18"/>
  <c r="BB126" i="18"/>
  <c r="V38" i="5"/>
  <c r="W36" i="5"/>
  <c r="AP9" i="42"/>
  <c r="AQ8" i="42"/>
  <c r="D15" i="16"/>
  <c r="AL31" i="5" l="1"/>
  <c r="AL35" i="5" s="1"/>
  <c r="AE6" i="5"/>
  <c r="E65" i="5"/>
  <c r="D17" i="16"/>
  <c r="D16" i="16"/>
  <c r="W38" i="5"/>
  <c r="X36" i="5"/>
  <c r="BC90" i="18"/>
  <c r="BC126" i="18"/>
  <c r="BD86" i="18"/>
  <c r="AK31" i="5"/>
  <c r="AK35" i="5" s="1"/>
  <c r="AH31" i="5"/>
  <c r="AH35" i="5" s="1"/>
  <c r="AI31" i="5"/>
  <c r="AI35" i="5" s="1"/>
  <c r="AJ31" i="5"/>
  <c r="AJ35" i="5" s="1"/>
  <c r="AQ9" i="42"/>
  <c r="AR8" i="42"/>
  <c r="AG31" i="5"/>
  <c r="AG35" i="5" s="1"/>
  <c r="AF31" i="5"/>
  <c r="AF35" i="5" s="1"/>
  <c r="D19" i="16" l="1"/>
  <c r="D18" i="16"/>
  <c r="BD126" i="18"/>
  <c r="BD127" i="18" s="1"/>
  <c r="BD90" i="18"/>
  <c r="BE86" i="18"/>
  <c r="AE34" i="5"/>
  <c r="AF33" i="5" s="1"/>
  <c r="AF34" i="5" s="1"/>
  <c r="AG33" i="5" s="1"/>
  <c r="AG34" i="5" s="1"/>
  <c r="AH33" i="5" s="1"/>
  <c r="AH34" i="5" s="1"/>
  <c r="AI33" i="5" s="1"/>
  <c r="AI34" i="5" s="1"/>
  <c r="AJ33" i="5" s="1"/>
  <c r="AJ34" i="5" s="1"/>
  <c r="AK33" i="5" s="1"/>
  <c r="AK34" i="5" s="1"/>
  <c r="AL33" i="5" s="1"/>
  <c r="AL34" i="5" s="1"/>
  <c r="AM33" i="5" s="1"/>
  <c r="AE31" i="5"/>
  <c r="E60" i="5"/>
  <c r="AR9" i="42"/>
  <c r="AS8" i="42"/>
  <c r="X38" i="5"/>
  <c r="Y36" i="5"/>
  <c r="AS9" i="42" l="1"/>
  <c r="AT8" i="42"/>
  <c r="AE35" i="5"/>
  <c r="E85" i="5"/>
  <c r="AE32" i="5"/>
  <c r="Y38" i="5"/>
  <c r="Z36" i="5"/>
  <c r="BE90" i="18"/>
  <c r="BE126" i="18"/>
  <c r="BF86" i="18"/>
  <c r="AE37" i="5" l="1"/>
  <c r="AF32" i="5"/>
  <c r="Z38" i="5"/>
  <c r="AA36" i="5"/>
  <c r="AT9" i="42"/>
  <c r="AU8" i="42"/>
  <c r="BG86" i="18"/>
  <c r="BF126" i="18"/>
  <c r="BF90" i="18"/>
  <c r="AF37" i="5" l="1"/>
  <c r="AG32" i="5"/>
  <c r="AU9" i="42"/>
  <c r="AV8" i="42"/>
  <c r="AB36" i="5"/>
  <c r="AA38" i="5"/>
  <c r="BG90" i="18"/>
  <c r="BG126" i="18"/>
  <c r="BG127" i="18" s="1"/>
  <c r="BH86" i="18"/>
  <c r="AV9" i="42" l="1"/>
  <c r="AW8" i="42"/>
  <c r="BH90" i="18"/>
  <c r="BI86" i="18"/>
  <c r="BH126" i="18"/>
  <c r="AB38" i="5"/>
  <c r="AC36" i="5"/>
  <c r="AG37" i="5"/>
  <c r="AH32" i="5"/>
  <c r="AH37" i="5" l="1"/>
  <c r="AI32" i="5"/>
  <c r="AW9" i="42"/>
  <c r="AX8" i="42"/>
  <c r="AC38" i="5"/>
  <c r="AD36" i="5"/>
  <c r="BI126" i="18"/>
  <c r="BI90" i="18"/>
  <c r="BJ86" i="18"/>
  <c r="BJ126" i="18" l="1"/>
  <c r="BJ127" i="18" s="1"/>
  <c r="BK86" i="18"/>
  <c r="BJ90" i="18"/>
  <c r="AI37" i="5"/>
  <c r="AJ32" i="5"/>
  <c r="E18" i="42"/>
  <c r="AD38" i="5"/>
  <c r="AE36" i="5"/>
  <c r="AX9" i="42"/>
  <c r="AY8" i="42"/>
  <c r="BK90" i="18" l="1"/>
  <c r="BK126" i="18"/>
  <c r="BL86" i="18"/>
  <c r="AY9" i="42"/>
  <c r="AZ8" i="42"/>
  <c r="AE38" i="5"/>
  <c r="AF36" i="5"/>
  <c r="AJ37" i="5"/>
  <c r="AK32" i="5"/>
  <c r="E7" i="16"/>
  <c r="E8" i="16" s="1"/>
  <c r="BL126" i="18" l="1"/>
  <c r="BM86" i="18"/>
  <c r="BL90" i="18"/>
  <c r="E9" i="16"/>
  <c r="E11" i="16"/>
  <c r="E13" i="16" s="1"/>
  <c r="AF38" i="5"/>
  <c r="AG36" i="5"/>
  <c r="AK37" i="5"/>
  <c r="AL32" i="5"/>
  <c r="AZ9" i="42"/>
  <c r="BA8" i="42"/>
  <c r="BM126" i="18" l="1"/>
  <c r="BM127" i="18" s="1"/>
  <c r="BM90" i="18"/>
  <c r="BN86" i="18"/>
  <c r="AL37" i="5"/>
  <c r="E86" i="5"/>
  <c r="E14" i="16"/>
  <c r="E20" i="42" s="1"/>
  <c r="BA9" i="42"/>
  <c r="BB8" i="42"/>
  <c r="AG38" i="5"/>
  <c r="AH36" i="5"/>
  <c r="BB9" i="42" l="1"/>
  <c r="BC8" i="42"/>
  <c r="AU11" i="42"/>
  <c r="AU13" i="42" s="1"/>
  <c r="AV11" i="5" s="1"/>
  <c r="AV6" i="5" s="1"/>
  <c r="AT11" i="42"/>
  <c r="AT13" i="42" s="1"/>
  <c r="AU11" i="5" s="1"/>
  <c r="AU6" i="5" s="1"/>
  <c r="AL11" i="42"/>
  <c r="AL13" i="42" s="1"/>
  <c r="AM11" i="5" s="1"/>
  <c r="AR11" i="42"/>
  <c r="AR13" i="42" s="1"/>
  <c r="AS11" i="5" s="1"/>
  <c r="AS6" i="5" s="1"/>
  <c r="AS11" i="42"/>
  <c r="AS13" i="42" s="1"/>
  <c r="AT11" i="5" s="1"/>
  <c r="AT6" i="5" s="1"/>
  <c r="AN11" i="42"/>
  <c r="AN13" i="42" s="1"/>
  <c r="AO11" i="5" s="1"/>
  <c r="AO6" i="5" s="1"/>
  <c r="AV11" i="42"/>
  <c r="AV13" i="42" s="1"/>
  <c r="AW11" i="5" s="1"/>
  <c r="AW6" i="5" s="1"/>
  <c r="AP11" i="42"/>
  <c r="AP13" i="42" s="1"/>
  <c r="AQ11" i="5" s="1"/>
  <c r="AQ6" i="5" s="1"/>
  <c r="AW11" i="42"/>
  <c r="AW13" i="42" s="1"/>
  <c r="AX11" i="5" s="1"/>
  <c r="AX6" i="5" s="1"/>
  <c r="AQ11" i="42"/>
  <c r="AQ13" i="42" s="1"/>
  <c r="AR11" i="5" s="1"/>
  <c r="AR6" i="5" s="1"/>
  <c r="AM11" i="42"/>
  <c r="AM13" i="42" s="1"/>
  <c r="AN11" i="5" s="1"/>
  <c r="AN6" i="5" s="1"/>
  <c r="AO11" i="42"/>
  <c r="AO13" i="42" s="1"/>
  <c r="AP11" i="5" s="1"/>
  <c r="AP6" i="5" s="1"/>
  <c r="E22" i="42"/>
  <c r="AH38" i="5"/>
  <c r="AI36" i="5"/>
  <c r="BN90" i="18"/>
  <c r="BN126" i="18"/>
  <c r="BO86" i="18"/>
  <c r="E15" i="16"/>
  <c r="AN31" i="5" l="1"/>
  <c r="AN35" i="5" s="1"/>
  <c r="AW31" i="5"/>
  <c r="AW35" i="5" s="1"/>
  <c r="F65" i="5"/>
  <c r="AM6" i="5"/>
  <c r="AP31" i="5"/>
  <c r="AP35" i="5" s="1"/>
  <c r="AQ31" i="5"/>
  <c r="AQ35" i="5" s="1"/>
  <c r="AS31" i="5"/>
  <c r="AS35" i="5" s="1"/>
  <c r="BC9" i="42"/>
  <c r="BD8" i="42"/>
  <c r="AX31" i="5"/>
  <c r="AX35" i="5" s="1"/>
  <c r="AT31" i="5"/>
  <c r="AT35" i="5" s="1"/>
  <c r="AV31" i="5"/>
  <c r="AV35" i="5" s="1"/>
  <c r="AI38" i="5"/>
  <c r="AJ36" i="5"/>
  <c r="E17" i="16"/>
  <c r="E16" i="16"/>
  <c r="BO90" i="18"/>
  <c r="BO126" i="18"/>
  <c r="BP86" i="18"/>
  <c r="AR31" i="5"/>
  <c r="AR35" i="5" s="1"/>
  <c r="AO31" i="5"/>
  <c r="AO35" i="5" s="1"/>
  <c r="AU31" i="5"/>
  <c r="AU35" i="5" s="1"/>
  <c r="AK36" i="5" l="1"/>
  <c r="AJ38" i="5"/>
  <c r="E19" i="16"/>
  <c r="E18" i="16"/>
  <c r="F60" i="5"/>
  <c r="AM34" i="5"/>
  <c r="AN33" i="5" s="1"/>
  <c r="AN34" i="5" s="1"/>
  <c r="AO33" i="5" s="1"/>
  <c r="AO34" i="5" s="1"/>
  <c r="AP33" i="5" s="1"/>
  <c r="AP34" i="5" s="1"/>
  <c r="AQ33" i="5" s="1"/>
  <c r="AQ34" i="5" s="1"/>
  <c r="AR33" i="5" s="1"/>
  <c r="AR34" i="5" s="1"/>
  <c r="AS33" i="5" s="1"/>
  <c r="AS34" i="5" s="1"/>
  <c r="AT33" i="5" s="1"/>
  <c r="AT34" i="5" s="1"/>
  <c r="AU33" i="5" s="1"/>
  <c r="AU34" i="5" s="1"/>
  <c r="AV33" i="5" s="1"/>
  <c r="AV34" i="5" s="1"/>
  <c r="AW33" i="5" s="1"/>
  <c r="AW34" i="5" s="1"/>
  <c r="AX33" i="5" s="1"/>
  <c r="AX34" i="5" s="1"/>
  <c r="AY33" i="5" s="1"/>
  <c r="AM31" i="5"/>
  <c r="BP126" i="18"/>
  <c r="BP127" i="18" s="1"/>
  <c r="BP90" i="18"/>
  <c r="BQ86" i="18"/>
  <c r="BD9" i="42"/>
  <c r="BE8" i="42"/>
  <c r="BQ90" i="18" l="1"/>
  <c r="BR86" i="18"/>
  <c r="BQ126" i="18"/>
  <c r="AK38" i="5"/>
  <c r="AL36" i="5"/>
  <c r="BE9" i="42"/>
  <c r="BF8" i="42"/>
  <c r="F85" i="5"/>
  <c r="AM35" i="5"/>
  <c r="AM32" i="5"/>
  <c r="AM37" i="5" l="1"/>
  <c r="AN32" i="5"/>
  <c r="BF9" i="42"/>
  <c r="BG8" i="42"/>
  <c r="AL38" i="5"/>
  <c r="AM36" i="5"/>
  <c r="BR90" i="18"/>
  <c r="BR126" i="18"/>
  <c r="BS86" i="18"/>
  <c r="BS126" i="18" l="1"/>
  <c r="BS127" i="18" s="1"/>
  <c r="BS90" i="18"/>
  <c r="BT86" i="18"/>
  <c r="AM38" i="5"/>
  <c r="AN36" i="5"/>
  <c r="AN37" i="5"/>
  <c r="AO32" i="5"/>
  <c r="BG9" i="42"/>
  <c r="BH8" i="42"/>
  <c r="BH9" i="42" l="1"/>
  <c r="BI8" i="42"/>
  <c r="AO37" i="5"/>
  <c r="AP32" i="5"/>
  <c r="AN38" i="5"/>
  <c r="AO36" i="5"/>
  <c r="BT126" i="18"/>
  <c r="BT90" i="18"/>
  <c r="BU86" i="18"/>
  <c r="BU126" i="18" l="1"/>
  <c r="BU90" i="18"/>
  <c r="BV86" i="18"/>
  <c r="BI9" i="42"/>
  <c r="BJ8" i="42"/>
  <c r="AO38" i="5"/>
  <c r="AP36" i="5"/>
  <c r="AP37" i="5"/>
  <c r="AQ32" i="5"/>
  <c r="BV90" i="18" l="1"/>
  <c r="BV126" i="18"/>
  <c r="BV127" i="18" s="1"/>
  <c r="BW86" i="18"/>
  <c r="BJ9" i="42"/>
  <c r="BK8" i="42"/>
  <c r="AQ37" i="5"/>
  <c r="AR32" i="5"/>
  <c r="AP38" i="5"/>
  <c r="AQ36" i="5"/>
  <c r="F18" i="42"/>
  <c r="BK9" i="42" l="1"/>
  <c r="BL8" i="42"/>
  <c r="AQ38" i="5"/>
  <c r="AR36" i="5"/>
  <c r="F7" i="16"/>
  <c r="F8" i="16" s="1"/>
  <c r="AR37" i="5"/>
  <c r="AS32" i="5"/>
  <c r="BW126" i="18"/>
  <c r="BW90" i="18"/>
  <c r="BX86" i="18"/>
  <c r="BL9" i="42" l="1"/>
  <c r="BM8" i="42"/>
  <c r="AS37" i="5"/>
  <c r="AT32" i="5"/>
  <c r="AR38" i="5"/>
  <c r="AS36" i="5"/>
  <c r="BX126" i="18"/>
  <c r="BX90" i="18"/>
  <c r="BY86" i="18"/>
  <c r="F9" i="16"/>
  <c r="F11" i="16"/>
  <c r="F13" i="16" s="1"/>
  <c r="F14" i="16" l="1"/>
  <c r="F20" i="42" s="1"/>
  <c r="AT37" i="5"/>
  <c r="AU32" i="5"/>
  <c r="AS38" i="5"/>
  <c r="AT36" i="5"/>
  <c r="BY126" i="18"/>
  <c r="BY127" i="18" s="1"/>
  <c r="BY90" i="18"/>
  <c r="BZ86" i="18"/>
  <c r="BM9" i="42"/>
  <c r="BN8" i="42"/>
  <c r="AU37" i="5" l="1"/>
  <c r="AV32" i="5"/>
  <c r="AZ11" i="42"/>
  <c r="AZ13" i="42" s="1"/>
  <c r="BA11" i="5" s="1"/>
  <c r="BA6" i="5" s="1"/>
  <c r="BF11" i="42"/>
  <c r="BF13" i="42" s="1"/>
  <c r="BG11" i="5" s="1"/>
  <c r="BG6" i="5" s="1"/>
  <c r="BD11" i="42"/>
  <c r="BD13" i="42" s="1"/>
  <c r="BE11" i="5" s="1"/>
  <c r="BE6" i="5" s="1"/>
  <c r="BA11" i="42"/>
  <c r="BA13" i="42" s="1"/>
  <c r="BB11" i="5" s="1"/>
  <c r="BB6" i="5" s="1"/>
  <c r="BB11" i="42"/>
  <c r="BB13" i="42" s="1"/>
  <c r="BC11" i="5" s="1"/>
  <c r="BC6" i="5" s="1"/>
  <c r="BE11" i="42"/>
  <c r="BE13" i="42" s="1"/>
  <c r="BF11" i="5" s="1"/>
  <c r="BF6" i="5" s="1"/>
  <c r="BH11" i="42"/>
  <c r="BH13" i="42" s="1"/>
  <c r="BI11" i="5" s="1"/>
  <c r="BI6" i="5" s="1"/>
  <c r="AX11" i="42"/>
  <c r="AX13" i="42" s="1"/>
  <c r="AY11" i="5" s="1"/>
  <c r="BI11" i="42"/>
  <c r="BI13" i="42" s="1"/>
  <c r="BJ11" i="5" s="1"/>
  <c r="BJ6" i="5" s="1"/>
  <c r="BG11" i="42"/>
  <c r="BG13" i="42" s="1"/>
  <c r="BH11" i="5" s="1"/>
  <c r="BH6" i="5" s="1"/>
  <c r="AY11" i="42"/>
  <c r="AY13" i="42" s="1"/>
  <c r="AZ11" i="5" s="1"/>
  <c r="AZ6" i="5" s="1"/>
  <c r="BC11" i="42"/>
  <c r="BC13" i="42" s="1"/>
  <c r="BD11" i="5" s="1"/>
  <c r="BD6" i="5" s="1"/>
  <c r="F22" i="42"/>
  <c r="F15" i="16"/>
  <c r="BZ90" i="18"/>
  <c r="BZ126" i="18"/>
  <c r="CA86" i="18"/>
  <c r="AT38" i="5"/>
  <c r="AU36" i="5"/>
  <c r="BN9" i="42"/>
  <c r="BO8" i="42"/>
  <c r="AZ31" i="5" l="1"/>
  <c r="AZ35" i="5" s="1"/>
  <c r="BI31" i="5"/>
  <c r="BI35" i="5" s="1"/>
  <c r="BE31" i="5"/>
  <c r="BE35" i="5" s="1"/>
  <c r="F17" i="16"/>
  <c r="F16" i="16"/>
  <c r="AV36" i="5"/>
  <c r="AU38" i="5"/>
  <c r="BD31" i="5"/>
  <c r="BD35" i="5" s="1"/>
  <c r="G65" i="5"/>
  <c r="AY6" i="5"/>
  <c r="BB31" i="5"/>
  <c r="BB35" i="5" s="1"/>
  <c r="AV37" i="5"/>
  <c r="AW32" i="5"/>
  <c r="BJ31" i="5"/>
  <c r="BJ35" i="5" s="1"/>
  <c r="BC31" i="5"/>
  <c r="BC35" i="5" s="1"/>
  <c r="BA31" i="5"/>
  <c r="BA35" i="5" s="1"/>
  <c r="BO9" i="42"/>
  <c r="BP8" i="42"/>
  <c r="CA126" i="18"/>
  <c r="CA90" i="18"/>
  <c r="CB86" i="18"/>
  <c r="BH31" i="5"/>
  <c r="BH35" i="5" s="1"/>
  <c r="BF31" i="5"/>
  <c r="BF35" i="5" s="1"/>
  <c r="BG31" i="5"/>
  <c r="BG35" i="5" s="1"/>
  <c r="AV38" i="5" l="1"/>
  <c r="AW36" i="5"/>
  <c r="AW37" i="5"/>
  <c r="AX32" i="5"/>
  <c r="G60" i="5"/>
  <c r="AY31" i="5"/>
  <c r="AY34" i="5"/>
  <c r="AZ33" i="5" s="1"/>
  <c r="AZ34" i="5" s="1"/>
  <c r="BA33" i="5" s="1"/>
  <c r="BA34" i="5" s="1"/>
  <c r="BB33" i="5" s="1"/>
  <c r="BB34" i="5" s="1"/>
  <c r="BC33" i="5" s="1"/>
  <c r="BC34" i="5" s="1"/>
  <c r="BD33" i="5" s="1"/>
  <c r="BD34" i="5" s="1"/>
  <c r="BE33" i="5" s="1"/>
  <c r="BE34" i="5" s="1"/>
  <c r="BF33" i="5" s="1"/>
  <c r="BF34" i="5" s="1"/>
  <c r="BG33" i="5" s="1"/>
  <c r="BG34" i="5" s="1"/>
  <c r="BH33" i="5" s="1"/>
  <c r="BH34" i="5" s="1"/>
  <c r="BI33" i="5" s="1"/>
  <c r="BI34" i="5" s="1"/>
  <c r="BJ33" i="5" s="1"/>
  <c r="BJ34" i="5" s="1"/>
  <c r="BK33" i="5" s="1"/>
  <c r="CB90" i="18"/>
  <c r="CB126" i="18"/>
  <c r="CB127" i="18" s="1"/>
  <c r="CC86" i="18"/>
  <c r="F19" i="16"/>
  <c r="F18" i="16"/>
  <c r="BP9" i="42"/>
  <c r="BQ8" i="42"/>
  <c r="F86" i="5" l="1"/>
  <c r="AX37" i="5"/>
  <c r="AY32" i="5"/>
  <c r="BQ9" i="42"/>
  <c r="BR8" i="42"/>
  <c r="CC126" i="18"/>
  <c r="CC90" i="18"/>
  <c r="CD86" i="18"/>
  <c r="AY35" i="5"/>
  <c r="G85" i="5"/>
  <c r="AW38" i="5"/>
  <c r="AX36" i="5"/>
  <c r="CD126" i="18" l="1"/>
  <c r="CD90" i="18"/>
  <c r="CE86" i="18"/>
  <c r="AX38" i="5"/>
  <c r="AY36" i="5"/>
  <c r="BR9" i="42"/>
  <c r="BS8" i="42"/>
  <c r="AY37" i="5"/>
  <c r="AZ32" i="5"/>
  <c r="AY38" i="5" l="1"/>
  <c r="AZ36" i="5"/>
  <c r="AZ37" i="5"/>
  <c r="BA32" i="5"/>
  <c r="BS9" i="42"/>
  <c r="BT8" i="42"/>
  <c r="CE90" i="18"/>
  <c r="CE126" i="18"/>
  <c r="CE127" i="18" s="1"/>
  <c r="CF86" i="18"/>
  <c r="BA37" i="5" l="1"/>
  <c r="BB32" i="5"/>
  <c r="CF90" i="18"/>
  <c r="CF126" i="18"/>
  <c r="CG86" i="18"/>
  <c r="BT9" i="42"/>
  <c r="BU8" i="42"/>
  <c r="BA36" i="5"/>
  <c r="AZ38" i="5"/>
  <c r="CG126" i="18" l="1"/>
  <c r="CG90" i="18"/>
  <c r="CH86" i="18"/>
  <c r="BB37" i="5"/>
  <c r="BC32" i="5"/>
  <c r="BU9" i="42"/>
  <c r="BV8" i="42"/>
  <c r="BA38" i="5"/>
  <c r="BB36" i="5"/>
  <c r="BB38" i="5" l="1"/>
  <c r="BC36" i="5"/>
  <c r="BC37" i="5"/>
  <c r="BD32" i="5"/>
  <c r="G18" i="42"/>
  <c r="BV9" i="42"/>
  <c r="BW8" i="42"/>
  <c r="CH90" i="18"/>
  <c r="CH126" i="18"/>
  <c r="CH127" i="18" s="1"/>
  <c r="CI86" i="18"/>
  <c r="BW9" i="42" l="1"/>
  <c r="BX8" i="42"/>
  <c r="BD37" i="5"/>
  <c r="BE32" i="5"/>
  <c r="G7" i="16"/>
  <c r="G8" i="16" s="1"/>
  <c r="BC38" i="5"/>
  <c r="BD36" i="5"/>
  <c r="CI90" i="18"/>
  <c r="CI126" i="18"/>
  <c r="CJ86" i="18"/>
  <c r="BX9" i="42" l="1"/>
  <c r="BY8" i="42"/>
  <c r="G11" i="16"/>
  <c r="G13" i="16" s="1"/>
  <c r="G9" i="16"/>
  <c r="CJ126" i="18"/>
  <c r="CJ90" i="18"/>
  <c r="CK86" i="18"/>
  <c r="BE36" i="5"/>
  <c r="BD38" i="5"/>
  <c r="BF32" i="5"/>
  <c r="BE37" i="5"/>
  <c r="G14" i="16" l="1"/>
  <c r="G20" i="42" s="1"/>
  <c r="CK126" i="18"/>
  <c r="CK127" i="18" s="1"/>
  <c r="CK90" i="18"/>
  <c r="CL86" i="18"/>
  <c r="BY9" i="42"/>
  <c r="BZ8" i="42"/>
  <c r="BE38" i="5"/>
  <c r="BF36" i="5"/>
  <c r="BF37" i="5"/>
  <c r="BG32" i="5"/>
  <c r="BZ9" i="42" l="1"/>
  <c r="CA8" i="42"/>
  <c r="BG37" i="5"/>
  <c r="BH32" i="5"/>
  <c r="CL90" i="18"/>
  <c r="CL126" i="18"/>
  <c r="CM86" i="18"/>
  <c r="G15" i="16"/>
  <c r="BU11" i="42"/>
  <c r="BU13" i="42" s="1"/>
  <c r="BV11" i="5" s="1"/>
  <c r="BV6" i="5" s="1"/>
  <c r="BQ11" i="42"/>
  <c r="BQ13" i="42" s="1"/>
  <c r="BR11" i="5" s="1"/>
  <c r="BR6" i="5" s="1"/>
  <c r="BS11" i="42"/>
  <c r="BS13" i="42" s="1"/>
  <c r="BT11" i="5" s="1"/>
  <c r="BT6" i="5" s="1"/>
  <c r="BN11" i="42"/>
  <c r="BN13" i="42" s="1"/>
  <c r="BO11" i="5" s="1"/>
  <c r="BO6" i="5" s="1"/>
  <c r="BO11" i="42"/>
  <c r="BO13" i="42" s="1"/>
  <c r="BP11" i="5" s="1"/>
  <c r="BP6" i="5" s="1"/>
  <c r="BT11" i="42"/>
  <c r="BT13" i="42" s="1"/>
  <c r="BU11" i="5" s="1"/>
  <c r="BU6" i="5" s="1"/>
  <c r="BM11" i="42"/>
  <c r="BM13" i="42" s="1"/>
  <c r="BN11" i="5" s="1"/>
  <c r="BN6" i="5" s="1"/>
  <c r="BR11" i="42"/>
  <c r="BR13" i="42" s="1"/>
  <c r="BS11" i="5" s="1"/>
  <c r="BS6" i="5" s="1"/>
  <c r="BK11" i="42"/>
  <c r="BK13" i="42" s="1"/>
  <c r="BL11" i="5" s="1"/>
  <c r="BL6" i="5" s="1"/>
  <c r="BJ11" i="42"/>
  <c r="BJ13" i="42" s="1"/>
  <c r="BK11" i="5" s="1"/>
  <c r="BP11" i="42"/>
  <c r="BP13" i="42" s="1"/>
  <c r="BQ11" i="5" s="1"/>
  <c r="BQ6" i="5" s="1"/>
  <c r="BL11" i="42"/>
  <c r="BL13" i="42" s="1"/>
  <c r="BM11" i="5" s="1"/>
  <c r="BM6" i="5" s="1"/>
  <c r="G22" i="42"/>
  <c r="BF38" i="5"/>
  <c r="BG36" i="5"/>
  <c r="BV31" i="5" l="1"/>
  <c r="BV35" i="5" s="1"/>
  <c r="H65" i="5"/>
  <c r="BK6" i="5"/>
  <c r="BU31" i="5"/>
  <c r="BU35" i="5" s="1"/>
  <c r="BR31" i="5"/>
  <c r="BR35" i="5" s="1"/>
  <c r="CA9" i="42"/>
  <c r="CB8" i="42"/>
  <c r="BL31" i="5"/>
  <c r="BL35" i="5" s="1"/>
  <c r="BQ31" i="5"/>
  <c r="BQ35" i="5" s="1"/>
  <c r="BN31" i="5"/>
  <c r="BN35" i="5" s="1"/>
  <c r="BT31" i="5"/>
  <c r="BT35" i="5" s="1"/>
  <c r="CM90" i="18"/>
  <c r="CM126" i="18"/>
  <c r="CN86" i="18"/>
  <c r="BP31" i="5"/>
  <c r="BP35" i="5" s="1"/>
  <c r="BH36" i="5"/>
  <c r="BG38" i="5"/>
  <c r="BM31" i="5"/>
  <c r="BM35" i="5" s="1"/>
  <c r="BS31" i="5"/>
  <c r="BS35" i="5" s="1"/>
  <c r="BO31" i="5"/>
  <c r="BO35" i="5" s="1"/>
  <c r="G17" i="16"/>
  <c r="G16" i="16"/>
  <c r="BH37" i="5"/>
  <c r="BI32" i="5"/>
  <c r="H60" i="5" l="1"/>
  <c r="BK31" i="5"/>
  <c r="BK34" i="5"/>
  <c r="BL33" i="5" s="1"/>
  <c r="BL34" i="5" s="1"/>
  <c r="BM33" i="5" s="1"/>
  <c r="BM34" i="5" s="1"/>
  <c r="BN33" i="5" s="1"/>
  <c r="BN34" i="5" s="1"/>
  <c r="BO33" i="5" s="1"/>
  <c r="BO34" i="5" s="1"/>
  <c r="BP33" i="5" s="1"/>
  <c r="BP34" i="5" s="1"/>
  <c r="BQ33" i="5" s="1"/>
  <c r="BQ34" i="5" s="1"/>
  <c r="BR33" i="5" s="1"/>
  <c r="BR34" i="5" s="1"/>
  <c r="BS33" i="5" s="1"/>
  <c r="BS34" i="5" s="1"/>
  <c r="BT33" i="5" s="1"/>
  <c r="BT34" i="5" s="1"/>
  <c r="BU33" i="5" s="1"/>
  <c r="BU34" i="5" s="1"/>
  <c r="BV33" i="5" s="1"/>
  <c r="BV34" i="5" s="1"/>
  <c r="BW33" i="5" s="1"/>
  <c r="G19" i="16"/>
  <c r="G18" i="16"/>
  <c r="BH38" i="5"/>
  <c r="BI36" i="5"/>
  <c r="BJ32" i="5"/>
  <c r="BI37" i="5"/>
  <c r="CN90" i="18"/>
  <c r="CN126" i="18"/>
  <c r="CN127" i="18" s="1"/>
  <c r="CO86" i="18"/>
  <c r="CB9" i="42"/>
  <c r="CC8" i="42"/>
  <c r="CC9" i="42" l="1"/>
  <c r="CD8" i="42"/>
  <c r="BI38" i="5"/>
  <c r="BJ36" i="5"/>
  <c r="CO126" i="18"/>
  <c r="CO90" i="18"/>
  <c r="CP86" i="18"/>
  <c r="BJ37" i="5"/>
  <c r="G86" i="5"/>
  <c r="BK32" i="5"/>
  <c r="H85" i="5"/>
  <c r="BK35" i="5"/>
  <c r="BJ38" i="5" l="1"/>
  <c r="BK36" i="5"/>
  <c r="CD9" i="42"/>
  <c r="CE8" i="42"/>
  <c r="CP126" i="18"/>
  <c r="CP90" i="18"/>
  <c r="CQ86" i="18"/>
  <c r="BK37" i="5"/>
  <c r="BL32" i="5"/>
  <c r="BK38" i="5" l="1"/>
  <c r="BL36" i="5"/>
  <c r="CE9" i="42"/>
  <c r="CF8" i="42"/>
  <c r="BL37" i="5"/>
  <c r="BM32" i="5"/>
  <c r="CQ126" i="18"/>
  <c r="CQ127" i="18" s="1"/>
  <c r="CQ90" i="18"/>
  <c r="CR86" i="18"/>
  <c r="CR126" i="18" l="1"/>
  <c r="CR90" i="18"/>
  <c r="CS86" i="18"/>
  <c r="BM37" i="5"/>
  <c r="BN32" i="5"/>
  <c r="BL38" i="5"/>
  <c r="BM36" i="5"/>
  <c r="CF9" i="42"/>
  <c r="CG8" i="42"/>
  <c r="BN37" i="5" l="1"/>
  <c r="BO32" i="5"/>
  <c r="BM38" i="5"/>
  <c r="BN36" i="5"/>
  <c r="CG9" i="42"/>
  <c r="CH8" i="42"/>
  <c r="CS126" i="18"/>
  <c r="CS90" i="18"/>
  <c r="CT86" i="18"/>
  <c r="BN38" i="5" l="1"/>
  <c r="BO36" i="5"/>
  <c r="CT90" i="18"/>
  <c r="CT126" i="18"/>
  <c r="CT127" i="18" s="1"/>
  <c r="CU86" i="18"/>
  <c r="BO37" i="5"/>
  <c r="BP32" i="5"/>
  <c r="H18" i="42"/>
  <c r="CI8" i="42"/>
  <c r="CH9" i="42"/>
  <c r="CU90" i="18" l="1"/>
  <c r="CU126" i="18"/>
  <c r="CV86" i="18"/>
  <c r="H7" i="16"/>
  <c r="H8" i="16" s="1"/>
  <c r="CI9" i="42"/>
  <c r="CJ8" i="42"/>
  <c r="BP36" i="5"/>
  <c r="BO38" i="5"/>
  <c r="BP37" i="5"/>
  <c r="BQ32" i="5"/>
  <c r="H9" i="16" l="1"/>
  <c r="H11" i="16"/>
  <c r="H13" i="16" s="1"/>
  <c r="BR32" i="5"/>
  <c r="BQ37" i="5"/>
  <c r="CV126" i="18"/>
  <c r="CV90" i="18"/>
  <c r="CW86" i="18"/>
  <c r="CJ9" i="42"/>
  <c r="CK8" i="42"/>
  <c r="BQ36" i="5"/>
  <c r="BP38" i="5"/>
  <c r="CL8" i="42" l="1"/>
  <c r="CK9" i="42"/>
  <c r="BQ38" i="5"/>
  <c r="BR36" i="5"/>
  <c r="BR37" i="5"/>
  <c r="BS32" i="5"/>
  <c r="H14" i="16"/>
  <c r="H20" i="42" s="1"/>
  <c r="CW126" i="18"/>
  <c r="CW127" i="18" s="1"/>
  <c r="CW90" i="18"/>
  <c r="CX86" i="18"/>
  <c r="CX90" i="18" l="1"/>
  <c r="CX126" i="18"/>
  <c r="CY86" i="18"/>
  <c r="H15" i="16"/>
  <c r="BV11" i="42"/>
  <c r="BV13" i="42" s="1"/>
  <c r="BW11" i="5" s="1"/>
  <c r="CE11" i="42"/>
  <c r="CE13" i="42" s="1"/>
  <c r="CF11" i="5" s="1"/>
  <c r="CF6" i="5" s="1"/>
  <c r="CA11" i="42"/>
  <c r="CA13" i="42" s="1"/>
  <c r="CB11" i="5" s="1"/>
  <c r="CB6" i="5" s="1"/>
  <c r="BW11" i="42"/>
  <c r="BW13" i="42" s="1"/>
  <c r="BX11" i="5" s="1"/>
  <c r="BX6" i="5" s="1"/>
  <c r="CG11" i="42"/>
  <c r="CG13" i="42" s="1"/>
  <c r="CH11" i="5" s="1"/>
  <c r="CH6" i="5" s="1"/>
  <c r="CC11" i="42"/>
  <c r="CC13" i="42" s="1"/>
  <c r="CD11" i="5" s="1"/>
  <c r="CD6" i="5" s="1"/>
  <c r="CF11" i="42"/>
  <c r="CF13" i="42" s="1"/>
  <c r="CG11" i="5" s="1"/>
  <c r="CG6" i="5" s="1"/>
  <c r="CD11" i="42"/>
  <c r="CD13" i="42" s="1"/>
  <c r="CE11" i="5" s="1"/>
  <c r="CE6" i="5" s="1"/>
  <c r="BY11" i="42"/>
  <c r="BY13" i="42" s="1"/>
  <c r="BZ11" i="5" s="1"/>
  <c r="BZ6" i="5" s="1"/>
  <c r="CB11" i="42"/>
  <c r="CB13" i="42" s="1"/>
  <c r="CC11" i="5" s="1"/>
  <c r="CC6" i="5" s="1"/>
  <c r="BX11" i="42"/>
  <c r="BX13" i="42" s="1"/>
  <c r="BY11" i="5" s="1"/>
  <c r="BY6" i="5" s="1"/>
  <c r="BZ11" i="42"/>
  <c r="BZ13" i="42" s="1"/>
  <c r="CA11" i="5" s="1"/>
  <c r="CA6" i="5" s="1"/>
  <c r="H22" i="42"/>
  <c r="CL9" i="42"/>
  <c r="CM8" i="42"/>
  <c r="BS37" i="5"/>
  <c r="BT32" i="5"/>
  <c r="BR38" i="5"/>
  <c r="BS36" i="5"/>
  <c r="BT37" i="5" l="1"/>
  <c r="BU32" i="5"/>
  <c r="BZ31" i="5"/>
  <c r="BZ35" i="5" s="1"/>
  <c r="CH31" i="5"/>
  <c r="CH35" i="5" s="1"/>
  <c r="BW6" i="5"/>
  <c r="I65" i="5"/>
  <c r="CD31" i="5"/>
  <c r="CD35" i="5" s="1"/>
  <c r="CF31" i="5"/>
  <c r="CF35" i="5" s="1"/>
  <c r="BY31" i="5"/>
  <c r="BY35" i="5" s="1"/>
  <c r="CG31" i="5"/>
  <c r="CG35" i="5" s="1"/>
  <c r="CB31" i="5"/>
  <c r="CB35" i="5" s="1"/>
  <c r="CY90" i="18"/>
  <c r="CY126" i="18"/>
  <c r="CZ86" i="18"/>
  <c r="CC31" i="5"/>
  <c r="CC35" i="5" s="1"/>
  <c r="BS38" i="5"/>
  <c r="BT36" i="5"/>
  <c r="CM9" i="42"/>
  <c r="CN8" i="42"/>
  <c r="CA31" i="5"/>
  <c r="CA35" i="5" s="1"/>
  <c r="CE31" i="5"/>
  <c r="CE35" i="5" s="1"/>
  <c r="BX31" i="5"/>
  <c r="BX35" i="5" s="1"/>
  <c r="H17" i="16"/>
  <c r="H16" i="16"/>
  <c r="BU37" i="5" l="1"/>
  <c r="BV32" i="5"/>
  <c r="CN9" i="42"/>
  <c r="CO8" i="42"/>
  <c r="CZ90" i="18"/>
  <c r="CZ126" i="18"/>
  <c r="CZ127" i="18" s="1"/>
  <c r="DA86" i="18"/>
  <c r="I60" i="5"/>
  <c r="BW31" i="5"/>
  <c r="BW34" i="5"/>
  <c r="BX33" i="5" s="1"/>
  <c r="BX34" i="5" s="1"/>
  <c r="BY33" i="5" s="1"/>
  <c r="BY34" i="5" s="1"/>
  <c r="BZ33" i="5" s="1"/>
  <c r="BZ34" i="5" s="1"/>
  <c r="CA33" i="5" s="1"/>
  <c r="CA34" i="5" s="1"/>
  <c r="CB33" i="5" s="1"/>
  <c r="CB34" i="5" s="1"/>
  <c r="CC33" i="5" s="1"/>
  <c r="CC34" i="5" s="1"/>
  <c r="CD33" i="5" s="1"/>
  <c r="CD34" i="5" s="1"/>
  <c r="CE33" i="5" s="1"/>
  <c r="CE34" i="5" s="1"/>
  <c r="CF33" i="5" s="1"/>
  <c r="CF34" i="5" s="1"/>
  <c r="CG33" i="5" s="1"/>
  <c r="CG34" i="5" s="1"/>
  <c r="CH33" i="5" s="1"/>
  <c r="CH34" i="5" s="1"/>
  <c r="CI33" i="5" s="1"/>
  <c r="BU36" i="5"/>
  <c r="BT38" i="5"/>
  <c r="H19" i="16"/>
  <c r="H18" i="16"/>
  <c r="BW35" i="5" l="1"/>
  <c r="I85" i="5"/>
  <c r="CP8" i="42"/>
  <c r="CO9" i="42"/>
  <c r="H86" i="5"/>
  <c r="BV37" i="5"/>
  <c r="BW32" i="5"/>
  <c r="BU38" i="5"/>
  <c r="BV36" i="5"/>
  <c r="DA90" i="18"/>
  <c r="DA126" i="18"/>
  <c r="DB86" i="18"/>
  <c r="DB126" i="18" l="1"/>
  <c r="DB90" i="18"/>
  <c r="DC86" i="18"/>
  <c r="BV38" i="5"/>
  <c r="BW36" i="5"/>
  <c r="BW37" i="5"/>
  <c r="BX32" i="5"/>
  <c r="CP9" i="42"/>
  <c r="CQ8" i="42"/>
  <c r="CQ9" i="42" l="1"/>
  <c r="CR8" i="42"/>
  <c r="BX36" i="5"/>
  <c r="BW38" i="5"/>
  <c r="BX37" i="5"/>
  <c r="BY32" i="5"/>
  <c r="DC90" i="18"/>
  <c r="DC126" i="18"/>
  <c r="DC127" i="18" s="1"/>
  <c r="DD86" i="18"/>
  <c r="DD126" i="18" l="1"/>
  <c r="DD90" i="18"/>
  <c r="DE86" i="18"/>
  <c r="BY37" i="5"/>
  <c r="BZ32" i="5"/>
  <c r="CR9" i="42"/>
  <c r="CS8" i="42"/>
  <c r="BX38" i="5"/>
  <c r="BY36" i="5"/>
  <c r="CA32" i="5" l="1"/>
  <c r="BZ37" i="5"/>
  <c r="BY38" i="5"/>
  <c r="BZ36" i="5"/>
  <c r="CT8" i="42"/>
  <c r="CS9" i="42"/>
  <c r="DE90" i="18"/>
  <c r="DE126" i="18"/>
  <c r="DF86" i="18"/>
  <c r="CA37" i="5" l="1"/>
  <c r="CB32" i="5"/>
  <c r="BZ38" i="5"/>
  <c r="CA36" i="5"/>
  <c r="CU8" i="42"/>
  <c r="CT9" i="42"/>
  <c r="I18" i="42"/>
  <c r="DF90" i="18"/>
  <c r="DF126" i="18"/>
  <c r="DF127" i="18" s="1"/>
  <c r="DG86" i="18"/>
  <c r="CU9" i="42" l="1"/>
  <c r="CV8" i="42"/>
  <c r="I7" i="16"/>
  <c r="I8" i="16" s="1"/>
  <c r="CB37" i="5"/>
  <c r="CC32" i="5"/>
  <c r="CA38" i="5"/>
  <c r="CB36" i="5"/>
  <c r="DG90" i="18"/>
  <c r="DG126" i="18"/>
  <c r="DH86" i="18"/>
  <c r="DH126" i="18" l="1"/>
  <c r="DH90" i="18"/>
  <c r="DI86" i="18"/>
  <c r="CB38" i="5"/>
  <c r="CC36" i="5"/>
  <c r="CV9" i="42"/>
  <c r="CW8" i="42"/>
  <c r="CC37" i="5"/>
  <c r="CD32" i="5"/>
  <c r="I11" i="16"/>
  <c r="I13" i="16" s="1"/>
  <c r="I9" i="16"/>
  <c r="CC38" i="5" l="1"/>
  <c r="CD36" i="5"/>
  <c r="I14" i="16"/>
  <c r="I20" i="42" s="1"/>
  <c r="CD37" i="5"/>
  <c r="CE32" i="5"/>
  <c r="CW9" i="42"/>
  <c r="CX8" i="42"/>
  <c r="DI126" i="18"/>
  <c r="DI127" i="18" s="1"/>
  <c r="DI90" i="18"/>
  <c r="DJ86" i="18"/>
  <c r="CD38" i="5" l="1"/>
  <c r="CE36" i="5"/>
  <c r="CE37" i="5"/>
  <c r="CF32" i="5"/>
  <c r="DJ90" i="18"/>
  <c r="DJ126" i="18"/>
  <c r="DK86" i="18"/>
  <c r="CL11" i="42"/>
  <c r="CL13" i="42" s="1"/>
  <c r="CM11" i="5" s="1"/>
  <c r="CM6" i="5" s="1"/>
  <c r="CN11" i="42"/>
  <c r="CN13" i="42" s="1"/>
  <c r="CO11" i="5" s="1"/>
  <c r="CO6" i="5" s="1"/>
  <c r="CH11" i="42"/>
  <c r="CH13" i="42" s="1"/>
  <c r="CI11" i="5" s="1"/>
  <c r="CR11" i="42"/>
  <c r="CR13" i="42" s="1"/>
  <c r="CS11" i="5" s="1"/>
  <c r="CS6" i="5" s="1"/>
  <c r="CK11" i="42"/>
  <c r="CK13" i="42" s="1"/>
  <c r="CL11" i="5" s="1"/>
  <c r="CL6" i="5" s="1"/>
  <c r="CQ11" i="42"/>
  <c r="CQ13" i="42" s="1"/>
  <c r="CR11" i="5" s="1"/>
  <c r="CR6" i="5" s="1"/>
  <c r="CO11" i="42"/>
  <c r="CO13" i="42" s="1"/>
  <c r="CP11" i="5" s="1"/>
  <c r="CP6" i="5" s="1"/>
  <c r="CS11" i="42"/>
  <c r="CS13" i="42" s="1"/>
  <c r="CT11" i="5" s="1"/>
  <c r="CT6" i="5" s="1"/>
  <c r="CP11" i="42"/>
  <c r="CP13" i="42" s="1"/>
  <c r="CQ11" i="5" s="1"/>
  <c r="CQ6" i="5" s="1"/>
  <c r="CM11" i="42"/>
  <c r="CM13" i="42" s="1"/>
  <c r="CN11" i="5" s="1"/>
  <c r="CN6" i="5" s="1"/>
  <c r="CJ11" i="42"/>
  <c r="CJ13" i="42" s="1"/>
  <c r="CK11" i="5" s="1"/>
  <c r="CK6" i="5" s="1"/>
  <c r="CI11" i="42"/>
  <c r="CI13" i="42" s="1"/>
  <c r="CJ11" i="5" s="1"/>
  <c r="CJ6" i="5" s="1"/>
  <c r="I22" i="42"/>
  <c r="CY8" i="42"/>
  <c r="CX9" i="42"/>
  <c r="I15" i="16"/>
  <c r="CJ31" i="5" l="1"/>
  <c r="CJ35" i="5" s="1"/>
  <c r="CT31" i="5"/>
  <c r="CT35" i="5" s="1"/>
  <c r="CS31" i="5"/>
  <c r="CS35" i="5" s="1"/>
  <c r="DK90" i="18"/>
  <c r="DK126" i="18"/>
  <c r="DL86" i="18"/>
  <c r="CQ31" i="5"/>
  <c r="CQ35" i="5" s="1"/>
  <c r="CL31" i="5"/>
  <c r="CL35" i="5" s="1"/>
  <c r="CM31" i="5"/>
  <c r="CM35" i="5" s="1"/>
  <c r="CF37" i="5"/>
  <c r="CG32" i="5"/>
  <c r="CE38" i="5"/>
  <c r="CF36" i="5"/>
  <c r="CY9" i="42"/>
  <c r="CZ8" i="42"/>
  <c r="CN31" i="5"/>
  <c r="CN35" i="5" s="1"/>
  <c r="CR31" i="5"/>
  <c r="CR35" i="5" s="1"/>
  <c r="CO31" i="5"/>
  <c r="CO35" i="5" s="1"/>
  <c r="I17" i="16"/>
  <c r="I16" i="16"/>
  <c r="CK31" i="5"/>
  <c r="CK35" i="5" s="1"/>
  <c r="CP31" i="5"/>
  <c r="CP35" i="5" s="1"/>
  <c r="CI6" i="5"/>
  <c r="J65" i="5"/>
  <c r="CZ9" i="42" l="1"/>
  <c r="DA8" i="42"/>
  <c r="CH32" i="5"/>
  <c r="CG37" i="5"/>
  <c r="DL90" i="18"/>
  <c r="DL126" i="18"/>
  <c r="DL127" i="18" s="1"/>
  <c r="DM86" i="18"/>
  <c r="CI31" i="5"/>
  <c r="J60" i="5"/>
  <c r="CI34" i="5"/>
  <c r="CJ33" i="5" s="1"/>
  <c r="CJ34" i="5" s="1"/>
  <c r="CK33" i="5" s="1"/>
  <c r="CK34" i="5" s="1"/>
  <c r="CL33" i="5" s="1"/>
  <c r="CL34" i="5" s="1"/>
  <c r="CM33" i="5" s="1"/>
  <c r="CM34" i="5" s="1"/>
  <c r="CN33" i="5" s="1"/>
  <c r="CN34" i="5" s="1"/>
  <c r="CO33" i="5" s="1"/>
  <c r="CO34" i="5" s="1"/>
  <c r="CP33" i="5" s="1"/>
  <c r="CP34" i="5" s="1"/>
  <c r="CQ33" i="5" s="1"/>
  <c r="CQ34" i="5" s="1"/>
  <c r="CR33" i="5" s="1"/>
  <c r="CR34" i="5" s="1"/>
  <c r="CS33" i="5" s="1"/>
  <c r="CS34" i="5" s="1"/>
  <c r="CT33" i="5" s="1"/>
  <c r="CT34" i="5" s="1"/>
  <c r="CU33" i="5" s="1"/>
  <c r="CF38" i="5"/>
  <c r="CG36" i="5"/>
  <c r="I19" i="16"/>
  <c r="I18" i="16"/>
  <c r="CG38" i="5" l="1"/>
  <c r="CH36" i="5"/>
  <c r="J85" i="5"/>
  <c r="CI35" i="5"/>
  <c r="DB8" i="42"/>
  <c r="DA9" i="42"/>
  <c r="DM126" i="18"/>
  <c r="DM90" i="18"/>
  <c r="DN86" i="18"/>
  <c r="I86" i="5"/>
  <c r="CH37" i="5"/>
  <c r="CI32" i="5"/>
  <c r="CI37" i="5" l="1"/>
  <c r="CJ32" i="5"/>
  <c r="DN126" i="18"/>
  <c r="DN90" i="18"/>
  <c r="DO86" i="18"/>
  <c r="DC8" i="42"/>
  <c r="DB9" i="42"/>
  <c r="CI36" i="5"/>
  <c r="CH38" i="5"/>
  <c r="CJ36" i="5" l="1"/>
  <c r="CI38" i="5"/>
  <c r="CJ37" i="5"/>
  <c r="CK32" i="5"/>
  <c r="DO126" i="18"/>
  <c r="DO127" i="18" s="1"/>
  <c r="DO90" i="18"/>
  <c r="DP86" i="18"/>
  <c r="DC9" i="42"/>
  <c r="DD8" i="42"/>
  <c r="CK36" i="5" l="1"/>
  <c r="CJ38" i="5"/>
  <c r="DD9" i="42"/>
  <c r="DE8" i="42"/>
  <c r="DP90" i="18"/>
  <c r="DP126" i="18"/>
  <c r="DQ86" i="18"/>
  <c r="CL32" i="5"/>
  <c r="CK37" i="5"/>
  <c r="DQ126" i="18" l="1"/>
  <c r="DQ90" i="18"/>
  <c r="DR86" i="18"/>
  <c r="CK38" i="5"/>
  <c r="CL36" i="5"/>
  <c r="CM32" i="5"/>
  <c r="CL37" i="5"/>
  <c r="DF8" i="42"/>
  <c r="DE9" i="42"/>
  <c r="DG8" i="42" l="1"/>
  <c r="DF9" i="42"/>
  <c r="J18" i="42"/>
  <c r="CL38" i="5"/>
  <c r="CM36" i="5"/>
  <c r="CM37" i="5"/>
  <c r="CN32" i="5"/>
  <c r="DR126" i="18"/>
  <c r="DR127" i="18" s="1"/>
  <c r="DR90" i="18"/>
  <c r="DS86" i="18"/>
  <c r="CN37" i="5" l="1"/>
  <c r="CO32" i="5"/>
  <c r="DG9" i="42"/>
  <c r="DH8" i="42"/>
  <c r="J7" i="16"/>
  <c r="J8" i="16" s="1"/>
  <c r="CM38" i="5"/>
  <c r="CN36" i="5"/>
  <c r="DS126" i="18"/>
  <c r="DS90" i="18"/>
  <c r="DT86" i="18"/>
  <c r="J9" i="16" l="1"/>
  <c r="J11" i="16"/>
  <c r="J13" i="16" s="1"/>
  <c r="CO37" i="5"/>
  <c r="CP32" i="5"/>
  <c r="DT126" i="18"/>
  <c r="DT90" i="18"/>
  <c r="DU86" i="18"/>
  <c r="CO36" i="5"/>
  <c r="CN38" i="5"/>
  <c r="DH9" i="42"/>
  <c r="DI8" i="42"/>
  <c r="J14" i="16" l="1"/>
  <c r="J20" i="42" s="1"/>
  <c r="CO38" i="5"/>
  <c r="CP36" i="5"/>
  <c r="DJ8" i="42"/>
  <c r="DI9" i="42"/>
  <c r="DU126" i="18"/>
  <c r="DU127" i="18" s="1"/>
  <c r="DU90" i="18"/>
  <c r="CQ32" i="5"/>
  <c r="CP37" i="5"/>
  <c r="DK8" i="42" l="1"/>
  <c r="DJ9" i="42"/>
  <c r="J15" i="16"/>
  <c r="CQ37" i="5"/>
  <c r="CR32" i="5"/>
  <c r="CX11" i="42"/>
  <c r="CX13" i="42" s="1"/>
  <c r="CY11" i="5" s="1"/>
  <c r="CY6" i="5" s="1"/>
  <c r="CY11" i="42"/>
  <c r="CY13" i="42" s="1"/>
  <c r="CZ11" i="5" s="1"/>
  <c r="CZ6" i="5" s="1"/>
  <c r="DA11" i="42"/>
  <c r="DA13" i="42" s="1"/>
  <c r="DB11" i="5" s="1"/>
  <c r="DB6" i="5" s="1"/>
  <c r="CZ11" i="42"/>
  <c r="CZ13" i="42" s="1"/>
  <c r="DA11" i="5" s="1"/>
  <c r="DA6" i="5" s="1"/>
  <c r="DC11" i="42"/>
  <c r="DC13" i="42" s="1"/>
  <c r="DD11" i="5" s="1"/>
  <c r="DD6" i="5" s="1"/>
  <c r="CW11" i="42"/>
  <c r="CW13" i="42" s="1"/>
  <c r="CX11" i="5" s="1"/>
  <c r="CX6" i="5" s="1"/>
  <c r="DE11" i="42"/>
  <c r="DE13" i="42" s="1"/>
  <c r="DF11" i="5" s="1"/>
  <c r="DF6" i="5" s="1"/>
  <c r="CV11" i="42"/>
  <c r="CV13" i="42" s="1"/>
  <c r="CW11" i="5" s="1"/>
  <c r="CW6" i="5" s="1"/>
  <c r="CU11" i="42"/>
  <c r="CU13" i="42" s="1"/>
  <c r="CV11" i="5" s="1"/>
  <c r="CV6" i="5" s="1"/>
  <c r="DB11" i="42"/>
  <c r="DB13" i="42" s="1"/>
  <c r="DC11" i="5" s="1"/>
  <c r="DC6" i="5" s="1"/>
  <c r="DD11" i="42"/>
  <c r="DD13" i="42" s="1"/>
  <c r="DE11" i="5" s="1"/>
  <c r="DE6" i="5" s="1"/>
  <c r="CT11" i="42"/>
  <c r="CT13" i="42" s="1"/>
  <c r="CU11" i="5" s="1"/>
  <c r="J22" i="42"/>
  <c r="CP38" i="5"/>
  <c r="CQ36" i="5"/>
  <c r="CX31" i="5" l="1"/>
  <c r="CX35" i="5" s="1"/>
  <c r="CZ31" i="5"/>
  <c r="CZ35" i="5" s="1"/>
  <c r="J17" i="16"/>
  <c r="J16" i="16"/>
  <c r="DK9" i="42"/>
  <c r="DL8" i="42"/>
  <c r="CR36" i="5"/>
  <c r="CQ38" i="5"/>
  <c r="DB31" i="5"/>
  <c r="DB35" i="5" s="1"/>
  <c r="DE31" i="5"/>
  <c r="DE35" i="5" s="1"/>
  <c r="CW31" i="5"/>
  <c r="CW35" i="5" s="1"/>
  <c r="DA31" i="5"/>
  <c r="DA35" i="5" s="1"/>
  <c r="CS32" i="5"/>
  <c r="CR37" i="5"/>
  <c r="DC31" i="5"/>
  <c r="DC35" i="5" s="1"/>
  <c r="DF31" i="5"/>
  <c r="DF35" i="5" s="1"/>
  <c r="CU6" i="5"/>
  <c r="K65" i="5"/>
  <c r="CV31" i="5"/>
  <c r="CV35" i="5" s="1"/>
  <c r="DD31" i="5"/>
  <c r="DD35" i="5" s="1"/>
  <c r="CY31" i="5"/>
  <c r="CY35" i="5" s="1"/>
  <c r="CR38" i="5" l="1"/>
  <c r="CS36" i="5"/>
  <c r="J19" i="16"/>
  <c r="J18" i="16"/>
  <c r="CU31" i="5"/>
  <c r="K60" i="5"/>
  <c r="CU34" i="5"/>
  <c r="CV33" i="5" s="1"/>
  <c r="CV34" i="5" s="1"/>
  <c r="CW33" i="5" s="1"/>
  <c r="CW34" i="5" s="1"/>
  <c r="CX33" i="5" s="1"/>
  <c r="CX34" i="5" s="1"/>
  <c r="CY33" i="5" s="1"/>
  <c r="CY34" i="5" s="1"/>
  <c r="CZ33" i="5" s="1"/>
  <c r="CZ34" i="5" s="1"/>
  <c r="DA33" i="5" s="1"/>
  <c r="DA34" i="5" s="1"/>
  <c r="DB33" i="5" s="1"/>
  <c r="DB34" i="5" s="1"/>
  <c r="DC33" i="5" s="1"/>
  <c r="DC34" i="5" s="1"/>
  <c r="DD33" i="5" s="1"/>
  <c r="DD34" i="5" s="1"/>
  <c r="DE33" i="5" s="1"/>
  <c r="DE34" i="5" s="1"/>
  <c r="DF33" i="5" s="1"/>
  <c r="DF34" i="5" s="1"/>
  <c r="DG33" i="5" s="1"/>
  <c r="CS37" i="5"/>
  <c r="CT32" i="5"/>
  <c r="DM8" i="42"/>
  <c r="DL9" i="42"/>
  <c r="CS38" i="5" l="1"/>
  <c r="CT36" i="5"/>
  <c r="CU35" i="5"/>
  <c r="K85" i="5"/>
  <c r="CU32" i="5"/>
  <c r="CT37" i="5"/>
  <c r="J86" i="5"/>
  <c r="DM9" i="42"/>
  <c r="DN8" i="42"/>
  <c r="CU37" i="5" l="1"/>
  <c r="CV32" i="5"/>
  <c r="DN9" i="42"/>
  <c r="DO8" i="42"/>
  <c r="CT38" i="5"/>
  <c r="CU36" i="5"/>
  <c r="DO9" i="42" l="1"/>
  <c r="DP8" i="42"/>
  <c r="CV36" i="5"/>
  <c r="CU38" i="5"/>
  <c r="CV37" i="5"/>
  <c r="CW32" i="5"/>
  <c r="CW37" i="5" l="1"/>
  <c r="CX32" i="5"/>
  <c r="DP9" i="42"/>
  <c r="DQ8" i="42"/>
  <c r="CV38" i="5"/>
  <c r="CW36" i="5"/>
  <c r="CY32" i="5" l="1"/>
  <c r="CX37" i="5"/>
  <c r="CW38" i="5"/>
  <c r="CX36" i="5"/>
  <c r="DR8" i="42"/>
  <c r="DQ9" i="42"/>
  <c r="K18" i="42" l="1"/>
  <c r="CY37" i="5"/>
  <c r="CZ32" i="5"/>
  <c r="DS8" i="42"/>
  <c r="DR9" i="42"/>
  <c r="CY36" i="5"/>
  <c r="CX38" i="5"/>
  <c r="DS9" i="42" l="1"/>
  <c r="DT8" i="42"/>
  <c r="K7" i="16"/>
  <c r="K8" i="16" s="1"/>
  <c r="CY38" i="5"/>
  <c r="CZ36" i="5"/>
  <c r="CZ37" i="5"/>
  <c r="DA32" i="5"/>
  <c r="K9" i="16" l="1"/>
  <c r="K11" i="16"/>
  <c r="K13" i="16" s="1"/>
  <c r="DB32" i="5"/>
  <c r="DA37" i="5"/>
  <c r="DA36" i="5"/>
  <c r="CZ38" i="5"/>
  <c r="DU8" i="42"/>
  <c r="DT9" i="42"/>
  <c r="K14" i="16" l="1"/>
  <c r="K20" i="42" s="1"/>
  <c r="DA38" i="5"/>
  <c r="DB36" i="5"/>
  <c r="DU9" i="42"/>
  <c r="DV8" i="42"/>
  <c r="DC32" i="5"/>
  <c r="DB37" i="5"/>
  <c r="DI11" i="42" l="1"/>
  <c r="DI13" i="42" s="1"/>
  <c r="DJ11" i="5" s="1"/>
  <c r="DJ6" i="5" s="1"/>
  <c r="DN11" i="42"/>
  <c r="DN13" i="42" s="1"/>
  <c r="DO11" i="5" s="1"/>
  <c r="DO6" i="5" s="1"/>
  <c r="DF11" i="42"/>
  <c r="DF13" i="42" s="1"/>
  <c r="DG11" i="5" s="1"/>
  <c r="DQ11" i="42"/>
  <c r="DQ13" i="42" s="1"/>
  <c r="DR11" i="5" s="1"/>
  <c r="DR6" i="5" s="1"/>
  <c r="DP11" i="42"/>
  <c r="DP13" i="42" s="1"/>
  <c r="DQ11" i="5" s="1"/>
  <c r="DQ6" i="5" s="1"/>
  <c r="DL11" i="42"/>
  <c r="DL13" i="42" s="1"/>
  <c r="DM11" i="5" s="1"/>
  <c r="DM6" i="5" s="1"/>
  <c r="DG11" i="42"/>
  <c r="DG13" i="42" s="1"/>
  <c r="DH11" i="5" s="1"/>
  <c r="DH6" i="5" s="1"/>
  <c r="DJ11" i="42"/>
  <c r="DJ13" i="42" s="1"/>
  <c r="DK11" i="5" s="1"/>
  <c r="DK6" i="5" s="1"/>
  <c r="DO11" i="42"/>
  <c r="DO13" i="42" s="1"/>
  <c r="DP11" i="5" s="1"/>
  <c r="DP6" i="5" s="1"/>
  <c r="DM11" i="42"/>
  <c r="DM13" i="42" s="1"/>
  <c r="DN11" i="5" s="1"/>
  <c r="DN6" i="5" s="1"/>
  <c r="DK11" i="42"/>
  <c r="DK13" i="42" s="1"/>
  <c r="DL11" i="5" s="1"/>
  <c r="DL6" i="5" s="1"/>
  <c r="DH11" i="42"/>
  <c r="DH13" i="42" s="1"/>
  <c r="DI11" i="5" s="1"/>
  <c r="DI6" i="5" s="1"/>
  <c r="K22" i="42"/>
  <c r="DC36" i="5"/>
  <c r="DB38" i="5"/>
  <c r="K15" i="16"/>
  <c r="DC37" i="5"/>
  <c r="DD32" i="5"/>
  <c r="DW8" i="42"/>
  <c r="DV9" i="42"/>
  <c r="DP31" i="5" l="1"/>
  <c r="DP35" i="5" s="1"/>
  <c r="DQ31" i="5"/>
  <c r="DQ35" i="5" s="1"/>
  <c r="DJ31" i="5"/>
  <c r="DJ35" i="5" s="1"/>
  <c r="DD37" i="5"/>
  <c r="DE32" i="5"/>
  <c r="DD36" i="5"/>
  <c r="DC38" i="5"/>
  <c r="DN31" i="5"/>
  <c r="DN35" i="5" s="1"/>
  <c r="DM31" i="5"/>
  <c r="DM35" i="5" s="1"/>
  <c r="DO31" i="5"/>
  <c r="DO35" i="5" s="1"/>
  <c r="DX8" i="42"/>
  <c r="DW9" i="42"/>
  <c r="DL31" i="5"/>
  <c r="DL35" i="5" s="1"/>
  <c r="DH31" i="5"/>
  <c r="DH35" i="5" s="1"/>
  <c r="DG6" i="5"/>
  <c r="L65" i="5"/>
  <c r="K17" i="16"/>
  <c r="K16" i="16"/>
  <c r="DI31" i="5"/>
  <c r="DI35" i="5" s="1"/>
  <c r="DK31" i="5"/>
  <c r="DK35" i="5" s="1"/>
  <c r="DR31" i="5"/>
  <c r="DR35" i="5" s="1"/>
  <c r="DX9" i="42" l="1"/>
  <c r="DY8" i="42"/>
  <c r="DE36" i="5"/>
  <c r="DD38" i="5"/>
  <c r="K19" i="16"/>
  <c r="K18" i="16"/>
  <c r="L60" i="5"/>
  <c r="DG31" i="5"/>
  <c r="DG34" i="5"/>
  <c r="DH33" i="5" s="1"/>
  <c r="DH34" i="5" s="1"/>
  <c r="DI33" i="5" s="1"/>
  <c r="DI34" i="5" s="1"/>
  <c r="DJ33" i="5" s="1"/>
  <c r="DJ34" i="5" s="1"/>
  <c r="DK33" i="5" s="1"/>
  <c r="DK34" i="5" s="1"/>
  <c r="DL33" i="5" s="1"/>
  <c r="DL34" i="5" s="1"/>
  <c r="DM33" i="5" s="1"/>
  <c r="DM34" i="5" s="1"/>
  <c r="DN33" i="5" s="1"/>
  <c r="DN34" i="5" s="1"/>
  <c r="DO33" i="5" s="1"/>
  <c r="DO34" i="5" s="1"/>
  <c r="DP33" i="5" s="1"/>
  <c r="DP34" i="5" s="1"/>
  <c r="DQ33" i="5" s="1"/>
  <c r="DQ34" i="5" s="1"/>
  <c r="DR33" i="5" s="1"/>
  <c r="DR34" i="5" s="1"/>
  <c r="DS33" i="5" s="1"/>
  <c r="DE37" i="5"/>
  <c r="DF32" i="5"/>
  <c r="DG32" i="5" l="1"/>
  <c r="K86" i="5"/>
  <c r="DF37" i="5"/>
  <c r="DY9" i="42"/>
  <c r="DZ8" i="42"/>
  <c r="DG35" i="5"/>
  <c r="L85" i="5"/>
  <c r="DE38" i="5"/>
  <c r="DF36" i="5"/>
  <c r="EA8" i="42" l="1"/>
  <c r="DZ9" i="42"/>
  <c r="DG37" i="5"/>
  <c r="DH32" i="5"/>
  <c r="DG36" i="5"/>
  <c r="DF38" i="5"/>
  <c r="DG38" i="5" l="1"/>
  <c r="DH36" i="5"/>
  <c r="EA9" i="42"/>
  <c r="EB8" i="42"/>
  <c r="DH37" i="5"/>
  <c r="DI32" i="5"/>
  <c r="DJ32" i="5" l="1"/>
  <c r="DI37" i="5"/>
  <c r="DH38" i="5"/>
  <c r="DI36" i="5"/>
  <c r="EC8" i="42"/>
  <c r="EC9" i="42" s="1"/>
  <c r="EB9" i="42"/>
  <c r="DK32" i="5" l="1"/>
  <c r="DJ37" i="5"/>
  <c r="L18" i="42"/>
  <c r="DI38" i="5"/>
  <c r="DJ36" i="5"/>
  <c r="DJ38" i="5" l="1"/>
  <c r="DK36" i="5"/>
  <c r="DK37" i="5"/>
  <c r="DL32" i="5"/>
  <c r="L7" i="16"/>
  <c r="L8" i="16" s="1"/>
  <c r="L11" i="16" l="1"/>
  <c r="L13" i="16" s="1"/>
  <c r="L9" i="16"/>
  <c r="DL36" i="5"/>
  <c r="DK38" i="5"/>
  <c r="DL37" i="5"/>
  <c r="DM32" i="5"/>
  <c r="L14" i="16" l="1"/>
  <c r="L20" i="42" s="1"/>
  <c r="DM37" i="5"/>
  <c r="DN32" i="5"/>
  <c r="DL38" i="5"/>
  <c r="DM36" i="5"/>
  <c r="L15" i="16" l="1"/>
  <c r="L17" i="16" s="1"/>
  <c r="DM38" i="5"/>
  <c r="DN36" i="5"/>
  <c r="EC11" i="42"/>
  <c r="EC13" i="42" s="1"/>
  <c r="ED11" i="5" s="1"/>
  <c r="ED6" i="5" s="1"/>
  <c r="DR11" i="42"/>
  <c r="DR13" i="42" s="1"/>
  <c r="DS11" i="5" s="1"/>
  <c r="DZ11" i="42"/>
  <c r="DZ13" i="42" s="1"/>
  <c r="EA11" i="5" s="1"/>
  <c r="EA6" i="5" s="1"/>
  <c r="DV11" i="42"/>
  <c r="DV13" i="42" s="1"/>
  <c r="DW11" i="5" s="1"/>
  <c r="DW6" i="5" s="1"/>
  <c r="DY11" i="42"/>
  <c r="DY13" i="42" s="1"/>
  <c r="DZ11" i="5" s="1"/>
  <c r="DZ6" i="5" s="1"/>
  <c r="EA11" i="42"/>
  <c r="EA13" i="42" s="1"/>
  <c r="EB11" i="5" s="1"/>
  <c r="EB6" i="5" s="1"/>
  <c r="DU11" i="42"/>
  <c r="DU13" i="42" s="1"/>
  <c r="DV11" i="5" s="1"/>
  <c r="DV6" i="5" s="1"/>
  <c r="DS11" i="42"/>
  <c r="DS13" i="42" s="1"/>
  <c r="DT11" i="5" s="1"/>
  <c r="DT6" i="5" s="1"/>
  <c r="DW11" i="42"/>
  <c r="DW13" i="42" s="1"/>
  <c r="DX11" i="5" s="1"/>
  <c r="DX6" i="5" s="1"/>
  <c r="DT11" i="42"/>
  <c r="DT13" i="42" s="1"/>
  <c r="DU11" i="5" s="1"/>
  <c r="DU6" i="5" s="1"/>
  <c r="EB11" i="42"/>
  <c r="EB13" i="42" s="1"/>
  <c r="EC11" i="5" s="1"/>
  <c r="EC6" i="5" s="1"/>
  <c r="DX11" i="42"/>
  <c r="DX13" i="42" s="1"/>
  <c r="DY11" i="5" s="1"/>
  <c r="DY6" i="5" s="1"/>
  <c r="L22" i="42"/>
  <c r="DN37" i="5"/>
  <c r="DO32" i="5"/>
  <c r="L16" i="16" l="1"/>
  <c r="DZ31" i="5"/>
  <c r="DZ35" i="5" s="1"/>
  <c r="ED31" i="5"/>
  <c r="DU31" i="5"/>
  <c r="DU35" i="5" s="1"/>
  <c r="M65" i="5"/>
  <c r="DS6" i="5"/>
  <c r="DO36" i="5"/>
  <c r="DN38" i="5"/>
  <c r="EB31" i="5"/>
  <c r="EB35" i="5" s="1"/>
  <c r="DP32" i="5"/>
  <c r="DO37" i="5"/>
  <c r="EA31" i="5"/>
  <c r="EA35" i="5" s="1"/>
  <c r="L19" i="16"/>
  <c r="B11" i="34" s="1"/>
  <c r="L18" i="16"/>
  <c r="B12" i="34" s="1"/>
  <c r="DX31" i="5"/>
  <c r="DX35" i="5" s="1"/>
  <c r="EC31" i="5"/>
  <c r="EC35" i="5" s="1"/>
  <c r="DV31" i="5"/>
  <c r="DV35" i="5" s="1"/>
  <c r="DY31" i="5"/>
  <c r="DY35" i="5" s="1"/>
  <c r="DT31" i="5"/>
  <c r="DT35" i="5" s="1"/>
  <c r="DW31" i="5"/>
  <c r="DW35" i="5" s="1"/>
  <c r="DP37" i="5" l="1"/>
  <c r="DQ32" i="5"/>
  <c r="DO38" i="5"/>
  <c r="DP36" i="5"/>
  <c r="ED35" i="5"/>
  <c r="B6" i="34"/>
  <c r="B16" i="30" s="1"/>
  <c r="D3" i="30" s="1"/>
  <c r="M60" i="5"/>
  <c r="DS34" i="5"/>
  <c r="DT33" i="5" s="1"/>
  <c r="DT34" i="5" s="1"/>
  <c r="DU33" i="5" s="1"/>
  <c r="DU34" i="5" s="1"/>
  <c r="DV33" i="5" s="1"/>
  <c r="DV34" i="5" s="1"/>
  <c r="DW33" i="5" s="1"/>
  <c r="DW34" i="5" s="1"/>
  <c r="DX33" i="5" s="1"/>
  <c r="DX34" i="5" s="1"/>
  <c r="DY33" i="5" s="1"/>
  <c r="DY34" i="5" s="1"/>
  <c r="DZ33" i="5" s="1"/>
  <c r="DZ34" i="5" s="1"/>
  <c r="EA33" i="5" s="1"/>
  <c r="EA34" i="5" s="1"/>
  <c r="EB33" i="5" s="1"/>
  <c r="EB34" i="5" s="1"/>
  <c r="EC33" i="5" s="1"/>
  <c r="EC34" i="5" s="1"/>
  <c r="ED33" i="5" s="1"/>
  <c r="ED34" i="5" s="1"/>
  <c r="DS31" i="5"/>
  <c r="E8" i="30" l="1"/>
  <c r="E6" i="30"/>
  <c r="E7" i="30"/>
  <c r="E5" i="30"/>
  <c r="DR32" i="5"/>
  <c r="DQ37" i="5"/>
  <c r="DS35" i="5"/>
  <c r="M85" i="5"/>
  <c r="DP38" i="5"/>
  <c r="DQ36" i="5"/>
  <c r="DR37" i="5" l="1"/>
  <c r="L86" i="5"/>
  <c r="DS32" i="5"/>
  <c r="DQ38" i="5"/>
  <c r="DR36" i="5"/>
  <c r="DS36" i="5" l="1"/>
  <c r="DR38" i="5"/>
  <c r="DS37" i="5"/>
  <c r="DT32" i="5"/>
  <c r="DS38" i="5" l="1"/>
  <c r="DT36" i="5"/>
  <c r="DT37" i="5"/>
  <c r="DU32" i="5"/>
  <c r="DU36" i="5" l="1"/>
  <c r="DT38" i="5"/>
  <c r="DV32" i="5"/>
  <c r="DU37" i="5"/>
  <c r="DU38" i="5" l="1"/>
  <c r="DV36" i="5"/>
  <c r="DV37" i="5"/>
  <c r="DW32" i="5"/>
  <c r="DV38" i="5" l="1"/>
  <c r="DW36" i="5"/>
  <c r="DX32" i="5"/>
  <c r="DW37" i="5"/>
  <c r="DW38" i="5" l="1"/>
  <c r="DX36" i="5"/>
  <c r="DY32" i="5"/>
  <c r="DX37" i="5"/>
  <c r="DX38" i="5" l="1"/>
  <c r="DY36" i="5"/>
  <c r="DZ32" i="5"/>
  <c r="DY37" i="5"/>
  <c r="DY38" i="5" l="1"/>
  <c r="DZ36" i="5"/>
  <c r="DZ37" i="5"/>
  <c r="EA32" i="5"/>
  <c r="DZ38" i="5" l="1"/>
  <c r="EA36" i="5"/>
  <c r="EA37" i="5"/>
  <c r="EB32" i="5"/>
  <c r="EB36" i="5" l="1"/>
  <c r="EA38" i="5"/>
  <c r="EB37" i="5"/>
  <c r="EC32" i="5"/>
  <c r="EB38" i="5" l="1"/>
  <c r="EC36" i="5"/>
  <c r="ED32" i="5"/>
  <c r="EC37" i="5"/>
  <c r="ED36" i="5" l="1"/>
  <c r="EC38" i="5"/>
  <c r="B4" i="34"/>
  <c r="M86" i="5"/>
  <c r="ED37" i="5"/>
  <c r="B8" i="34" s="1"/>
  <c r="E8" i="34" l="1"/>
  <c r="B18" i="30"/>
  <c r="H3" i="30" s="1"/>
  <c r="D8" i="34"/>
  <c r="ED38" i="5"/>
  <c r="B9" i="34" s="1"/>
  <c r="B5" i="34"/>
  <c r="B15" i="30" l="1"/>
  <c r="B3" i="30" s="1"/>
  <c r="B7" i="34"/>
  <c r="B17" i="30" s="1"/>
  <c r="F3" i="30" s="1"/>
  <c r="I5" i="30"/>
  <c r="I7" i="30"/>
  <c r="I6" i="30"/>
  <c r="I8" i="30"/>
  <c r="E9" i="34"/>
  <c r="D9" i="34"/>
  <c r="G7" i="30" l="1"/>
  <c r="G6" i="30"/>
  <c r="G5" i="30"/>
  <c r="G8" i="30"/>
  <c r="C5" i="30"/>
  <c r="C6" i="30"/>
  <c r="C8" i="30"/>
  <c r="C7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SVT</author>
  </authors>
  <commentList>
    <comment ref="E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Анализ чувствительности по цене
</t>
        </r>
      </text>
    </comment>
    <comment ref="E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Анализ чувствительности по реализации
</t>
        </r>
      </text>
    </comment>
    <comment ref="E4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объема переменных издержек
</t>
        </r>
      </text>
    </comment>
    <comment ref="E5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объема постоянных затрат</t>
        </r>
      </text>
    </comment>
  </commentList>
</comments>
</file>

<file path=xl/sharedStrings.xml><?xml version="1.0" encoding="utf-8"?>
<sst xmlns="http://schemas.openxmlformats.org/spreadsheetml/2006/main" count="752" uniqueCount="508">
  <si>
    <t>Налоги</t>
  </si>
  <si>
    <t>Собственные средства</t>
  </si>
  <si>
    <t>ЧДП нарастающим итогом</t>
  </si>
  <si>
    <t>NPV</t>
  </si>
  <si>
    <t>DPB</t>
  </si>
  <si>
    <t>N периода</t>
  </si>
  <si>
    <t>Дисконтирование</t>
  </si>
  <si>
    <t>PB</t>
  </si>
  <si>
    <t>Итого</t>
  </si>
  <si>
    <t>Период</t>
  </si>
  <si>
    <t>уср. Цена</t>
  </si>
  <si>
    <t>уср. Пр.изд</t>
  </si>
  <si>
    <t>объемы сбыта</t>
  </si>
  <si>
    <t>постоянные издержки</t>
  </si>
  <si>
    <t>прямые издержки</t>
  </si>
  <si>
    <t>доходы</t>
  </si>
  <si>
    <t>Ставка дисконтирования, %</t>
  </si>
  <si>
    <t>Средняя рентабельность продаж по проекту, %</t>
  </si>
  <si>
    <t>№</t>
  </si>
  <si>
    <t>Наименование должности</t>
  </si>
  <si>
    <t>Показатель</t>
  </si>
  <si>
    <t>Этап проекта</t>
  </si>
  <si>
    <t>Начало работ</t>
  </si>
  <si>
    <t>Длительность, дней</t>
  </si>
  <si>
    <t>Конец работ</t>
  </si>
  <si>
    <t>3</t>
  </si>
  <si>
    <t>Отчет о прибылях и убытках</t>
  </si>
  <si>
    <t>Показатели эффективности инвестиций</t>
  </si>
  <si>
    <t>1</t>
  </si>
  <si>
    <t>Переменные издержки</t>
  </si>
  <si>
    <t>Постоянные издержки</t>
  </si>
  <si>
    <t>Капитальные затраты</t>
  </si>
  <si>
    <t>Налог на прибыль</t>
  </si>
  <si>
    <t>Налоговое окружение</t>
  </si>
  <si>
    <t>Вводные данные по проекту</t>
  </si>
  <si>
    <t>Персонал проекта</t>
  </si>
  <si>
    <t>Финансовые показатели проекта</t>
  </si>
  <si>
    <t>1.1</t>
  </si>
  <si>
    <t>1.2</t>
  </si>
  <si>
    <t>2.1</t>
  </si>
  <si>
    <t>2.2</t>
  </si>
  <si>
    <t>3.1</t>
  </si>
  <si>
    <t>PI</t>
  </si>
  <si>
    <t>Базовое значение</t>
  </si>
  <si>
    <t>Отклонения</t>
  </si>
  <si>
    <t>∆</t>
  </si>
  <si>
    <t>%</t>
  </si>
  <si>
    <t>План продаж/ План выручки</t>
  </si>
  <si>
    <t>План выручки по годам, тыс. руб.</t>
  </si>
  <si>
    <t>Тыс. руб.</t>
  </si>
  <si>
    <t>ИНВЕСТИЦИОННЫЙ ДЕНЕЖНЫЙ ПОТОК (ИДП)</t>
  </si>
  <si>
    <t>ОПЕРАЦИОННЫЙ ДЕНЕЖНЫЙ ПОТОК (ОДП)</t>
  </si>
  <si>
    <t>Расходы итого</t>
  </si>
  <si>
    <t>Начисленные налоги и платежи</t>
  </si>
  <si>
    <t>ФИНАНСОВЫЙ ДЕНЕЖНЫЙ ПОТОК (ФДП)</t>
  </si>
  <si>
    <t>Чистый денежный поток (ЧДП)</t>
  </si>
  <si>
    <t>Баланс Наличности на начало периода</t>
  </si>
  <si>
    <t>Баланс Наличности на конец периода</t>
  </si>
  <si>
    <t>Отчет о движении денежных средств по месяцам</t>
  </si>
  <si>
    <t>Отчет о движении денежных средств по годам</t>
  </si>
  <si>
    <t>Статья доходов / расходов</t>
  </si>
  <si>
    <t>EBIT</t>
  </si>
  <si>
    <t>EBIT, % (к выручке) средняя</t>
  </si>
  <si>
    <t>Прибыль (Убыток) до налогообложения</t>
  </si>
  <si>
    <t>Рентабельность продаж</t>
  </si>
  <si>
    <t xml:space="preserve">Ставка дисконтирования </t>
  </si>
  <si>
    <t>Годовая ставка</t>
  </si>
  <si>
    <t>Размер налога</t>
  </si>
  <si>
    <t>Налоговое окружение проекта</t>
  </si>
  <si>
    <t>NPV нарастающим итогом</t>
  </si>
  <si>
    <t>Инвестиции в проект, тыс. руб.</t>
  </si>
  <si>
    <t>Выручка итого</t>
  </si>
  <si>
    <t>Налоги (кроме налога на прибыль)</t>
  </si>
  <si>
    <t xml:space="preserve">Чистый дисконтированный доход (NPV) </t>
  </si>
  <si>
    <t>Инвестиции в проект</t>
  </si>
  <si>
    <t>Чистая прибыль</t>
  </si>
  <si>
    <t>Чистая прибыль (накопительная), тыс. руб.</t>
  </si>
  <si>
    <t>IRR</t>
  </si>
  <si>
    <t xml:space="preserve">Капитальные вложения </t>
  </si>
  <si>
    <t>Внутренняя  норма доходности (IRR), % в год</t>
  </si>
  <si>
    <t>Индекс доходности (PI), ед.</t>
  </si>
  <si>
    <t>Период окупаемости (PB), мес.</t>
  </si>
  <si>
    <t>Дисконтированный период окупаемости (DPB), мес.</t>
  </si>
  <si>
    <t>Чистый доход (NV), тыс. руб.</t>
  </si>
  <si>
    <t>Чистый дисконтированный доход (NPV), тыс. руб.</t>
  </si>
  <si>
    <t>Календарный год</t>
  </si>
  <si>
    <t>Амортизация ОС</t>
  </si>
  <si>
    <t>EBITDA</t>
  </si>
  <si>
    <t>2</t>
  </si>
  <si>
    <t>Анализ чувствительности проекта</t>
  </si>
  <si>
    <t>Итого капитальные затраты</t>
  </si>
  <si>
    <t>Всего инвестиции в проект</t>
  </si>
  <si>
    <t>Подготовительные работы</t>
  </si>
  <si>
    <t>Финансовые показатели для расчета анализа чувствительности</t>
  </si>
  <si>
    <t>Период расчета (горизонт планирования), мес.</t>
  </si>
  <si>
    <t>Покрытие дефицита кэш-фло</t>
  </si>
  <si>
    <t>Расчет ставки дисконтирования</t>
  </si>
  <si>
    <t>Модель средневзвешенной стоимости капитала WACC</t>
  </si>
  <si>
    <t>Составляющие</t>
  </si>
  <si>
    <t>Доля собственного капитала</t>
  </si>
  <si>
    <t>Налог</t>
  </si>
  <si>
    <t>Стоимость собственного капитала</t>
  </si>
  <si>
    <t>Итого ставка дисконтирования</t>
  </si>
  <si>
    <t>Модель кумулятивного построения CCM</t>
  </si>
  <si>
    <t>Размер безрисковой ставки*</t>
  </si>
  <si>
    <t>Размер поправки за страновой риск</t>
  </si>
  <si>
    <t>Размер поправки за отраслевой риск</t>
  </si>
  <si>
    <t>Размер поправки за прочий риск</t>
  </si>
  <si>
    <t>Дополнительные расходы</t>
  </si>
  <si>
    <t>Чувствительность от переменных издержек</t>
  </si>
  <si>
    <t>Чувствительность от постоянных издержек</t>
  </si>
  <si>
    <t>План выручки по месяцам, тыс. руб.</t>
  </si>
  <si>
    <t>Амортизационные отчисления</t>
  </si>
  <si>
    <t>Линейный способ начисления</t>
  </si>
  <si>
    <t>Сумма</t>
  </si>
  <si>
    <t>Итого расходы</t>
  </si>
  <si>
    <t>Прибыль</t>
  </si>
  <si>
    <t>Шаг графика (прирост кол-ва)</t>
  </si>
  <si>
    <t>1.4</t>
  </si>
  <si>
    <t>Режим налогообложения</t>
  </si>
  <si>
    <t>Условия финансирования проекта</t>
  </si>
  <si>
    <t>Переменные издержки в год, тыс.руб.</t>
  </si>
  <si>
    <t>Ставка месячная</t>
  </si>
  <si>
    <t>Чистая прибыль нарастающим итогом</t>
  </si>
  <si>
    <t>Все налоги</t>
  </si>
  <si>
    <t>2.3</t>
  </si>
  <si>
    <t>Наименование услуги</t>
  </si>
  <si>
    <t>Состав</t>
  </si>
  <si>
    <t>Примечание</t>
  </si>
  <si>
    <t>Всего инвестиций</t>
  </si>
  <si>
    <t>Единица измерения</t>
  </si>
  <si>
    <t>-</t>
  </si>
  <si>
    <t>Постоянные расходы в год, тыс. руб.</t>
  </si>
  <si>
    <t>Значение</t>
  </si>
  <si>
    <t>См. Исходные данные</t>
  </si>
  <si>
    <t>*В налоговый поток предприятия НДФЛ не включается согласно НК РФ</t>
  </si>
  <si>
    <t>Количество</t>
  </si>
  <si>
    <t>1.3</t>
  </si>
  <si>
    <t>Изменяемые данные выделены цветом</t>
  </si>
  <si>
    <t>1.5</t>
  </si>
  <si>
    <t>1.6</t>
  </si>
  <si>
    <t>Срок полезного использования, лет</t>
  </si>
  <si>
    <t>Ставка квартальная</t>
  </si>
  <si>
    <t>мес.</t>
  </si>
  <si>
    <t>год</t>
  </si>
  <si>
    <t>Страховые взносы (ПФР, ФСС, ФОМС)</t>
  </si>
  <si>
    <t>3.2</t>
  </si>
  <si>
    <t>ОСН</t>
  </si>
  <si>
    <t>НДС</t>
  </si>
  <si>
    <t>Итого издержки проекта</t>
  </si>
  <si>
    <t>Снижение цен реализации на 10%</t>
  </si>
  <si>
    <t>Увеличение переменных затрат на 10%</t>
  </si>
  <si>
    <t>Увеличение постоянных затрат на 10%</t>
  </si>
  <si>
    <t>НДС к вычету (инвестиции)</t>
  </si>
  <si>
    <t xml:space="preserve"> </t>
  </si>
  <si>
    <t>http://www.cbonds.info/index/index_detail/group_id/7</t>
  </si>
  <si>
    <t>Доля заемного капитала (кредитные средства)</t>
  </si>
  <si>
    <t>Стоимость заемного капитала (кредитные средства)</t>
  </si>
  <si>
    <t>Прогноз цен на сырье, энергоносители, прочие затраты и готовую продукцию</t>
  </si>
  <si>
    <t>Индекс цен</t>
  </si>
  <si>
    <t>Прогноз цен на готовую продукцию</t>
  </si>
  <si>
    <t>Прогноз затрат на оплату труда</t>
  </si>
  <si>
    <t>Индекс роста заработной платы</t>
  </si>
  <si>
    <t>Переменные затраты проекта, тыс. руб.</t>
  </si>
  <si>
    <t xml:space="preserve">Наименование </t>
  </si>
  <si>
    <t>См. Прогноз цен</t>
  </si>
  <si>
    <t>Средние затраты в мес, тыс. руб.</t>
  </si>
  <si>
    <t>Постоянные затраты проекта, тыс. руб.</t>
  </si>
  <si>
    <t>Производственный персонал</t>
  </si>
  <si>
    <t>ФОТ тыс. руб.</t>
  </si>
  <si>
    <t>НДС к начислению (реализация продукции)</t>
  </si>
  <si>
    <t>Итого НДС в бюджет</t>
  </si>
  <si>
    <t xml:space="preserve">Страховые взносы </t>
  </si>
  <si>
    <t>Нераспределенная прибыль</t>
  </si>
  <si>
    <t>Нераспределенная прибыль нарастающим итогом</t>
  </si>
  <si>
    <t>Точка безубыточности проекта для 2023 года</t>
  </si>
  <si>
    <t>Оглавление</t>
  </si>
  <si>
    <t>Исх.данные!A1</t>
  </si>
  <si>
    <t>График реализации'!A1</t>
  </si>
  <si>
    <t>Инвестиции!A1</t>
  </si>
  <si>
    <t>Продажи и Выручка'!A1</t>
  </si>
  <si>
    <t>Переменные затраты'!A1</t>
  </si>
  <si>
    <t>Постоянные затраты'!A1</t>
  </si>
  <si>
    <t>Персонал!A1</t>
  </si>
  <si>
    <t>Налоги!A1</t>
  </si>
  <si>
    <t>ДДС!A1</t>
  </si>
  <si>
    <t>ОПиУ!A1</t>
  </si>
  <si>
    <t>Фин. показатели'!A1</t>
  </si>
  <si>
    <t>Анализ чувствительности'!A1</t>
  </si>
  <si>
    <t>Точка безубыточности'!A1</t>
  </si>
  <si>
    <t>Ст.дисконт!A1</t>
  </si>
  <si>
    <t>График реализации проекта</t>
  </si>
  <si>
    <t>4</t>
  </si>
  <si>
    <t>Итоговая стоимость с учетом НДС,  тыс. руб.</t>
  </si>
  <si>
    <t>Выход на плановую мощность завода, %</t>
  </si>
  <si>
    <t>Итог</t>
  </si>
  <si>
    <t>См. Персонал</t>
  </si>
  <si>
    <t>Производственное оборудование</t>
  </si>
  <si>
    <t xml:space="preserve">Кол-во работников всего </t>
  </si>
  <si>
    <t>НДС расчетный</t>
  </si>
  <si>
    <t>НДС к вычету (постоянные издержки)</t>
  </si>
  <si>
    <t>НДС накопленный к вычету</t>
  </si>
  <si>
    <t>Выручка от продаж, тыс. руб.</t>
  </si>
  <si>
    <t>Расчет себестоимости'!A1</t>
  </si>
  <si>
    <t>Постоянные издержки проекта</t>
  </si>
  <si>
    <t>5</t>
  </si>
  <si>
    <t>Заемные средства</t>
  </si>
  <si>
    <t>Условия кредита</t>
  </si>
  <si>
    <t>тыс. руб./мес</t>
  </si>
  <si>
    <t>Земельный налог</t>
  </si>
  <si>
    <t>Недвижимое имущество</t>
  </si>
  <si>
    <t>Движимое имущество</t>
  </si>
  <si>
    <t xml:space="preserve">Итого амортизационные отчисления </t>
  </si>
  <si>
    <t>База для налога на недвижимое имущество</t>
  </si>
  <si>
    <t>База для налога на недвижимое имущество (расчет)</t>
  </si>
  <si>
    <t>Вспомогательный персонал</t>
  </si>
  <si>
    <t>З/п 1 работника, тыс. руб./мес.</t>
  </si>
  <si>
    <t>Административный и вспомогательный  персонал</t>
  </si>
  <si>
    <t>Остаточная стоимость недвижимого имущества</t>
  </si>
  <si>
    <t>НДС к вычету (затраты на производство/переменные издержки)</t>
  </si>
  <si>
    <t>Снижение объемов выпуска продукции на 10%</t>
  </si>
  <si>
    <t>Административный отдел</t>
  </si>
  <si>
    <t>Кладовщик</t>
  </si>
  <si>
    <t>Загрузка</t>
  </si>
  <si>
    <t>1.7</t>
  </si>
  <si>
    <t xml:space="preserve">Выручка от реализации </t>
  </si>
  <si>
    <t xml:space="preserve">Переменные издержки </t>
  </si>
  <si>
    <t xml:space="preserve">Валовая прибыль </t>
  </si>
  <si>
    <t xml:space="preserve">Постоянные издержки </t>
  </si>
  <si>
    <t>Выплата процентов по кредитам и займам</t>
  </si>
  <si>
    <t>1.8</t>
  </si>
  <si>
    <t>1.9</t>
  </si>
  <si>
    <t>1.10</t>
  </si>
  <si>
    <t>1.11</t>
  </si>
  <si>
    <t>1.12</t>
  </si>
  <si>
    <t>Доля продукции в общем объеме производства, %</t>
  </si>
  <si>
    <t>Капитальные вложения</t>
  </si>
  <si>
    <t>тыс. руб.</t>
  </si>
  <si>
    <t>Разработка бизнес-плана</t>
  </si>
  <si>
    <t>1.13</t>
  </si>
  <si>
    <t>Цена реализации продуктов</t>
  </si>
  <si>
    <t>Ставка по кредиту в год, %</t>
  </si>
  <si>
    <t>Срок выплат тела кредита, лет</t>
  </si>
  <si>
    <t>Срок выплат процентов по кредиту, лет</t>
  </si>
  <si>
    <t>НФС с облицовкой кирпичной кладкой</t>
  </si>
  <si>
    <t>НФС с облицовкой СФБ</t>
  </si>
  <si>
    <t>НФС с облицовкой натуральным камнем</t>
  </si>
  <si>
    <t>НФС с облицовкой клинкерной плиткой</t>
  </si>
  <si>
    <t>НФС с облицовкой керамогранитом</t>
  </si>
  <si>
    <t>Сезонность производства</t>
  </si>
  <si>
    <t>Продукт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</si>
  <si>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</si>
  <si>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</si>
  <si>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</si>
  <si>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</si>
  <si>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</si>
  <si>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</si>
  <si>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</si>
  <si>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</si>
  <si>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</si>
  <si>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</si>
  <si>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</si>
  <si>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</si>
  <si>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кв.м.</t>
  </si>
  <si>
    <t>Максимальная производственная мощность, кв.м./мес.</t>
  </si>
  <si>
    <t>Стоимость, тыс. руб./кв.м.</t>
  </si>
  <si>
    <t>Объем производства,  кв.м.в месяц при 100% загрузке</t>
  </si>
  <si>
    <t xml:space="preserve">Командировочные расходы </t>
  </si>
  <si>
    <t>Оплата подрядным организациям</t>
  </si>
  <si>
    <t>Госпошлины</t>
  </si>
  <si>
    <t>Представительские расходы</t>
  </si>
  <si>
    <t>Рекламные расходы</t>
  </si>
  <si>
    <t>Чистка площадки, уборка мусора</t>
  </si>
  <si>
    <t>Директор производства</t>
  </si>
  <si>
    <t>Помощник директора</t>
  </si>
  <si>
    <t>Бухгалтер</t>
  </si>
  <si>
    <t>Менеджер по сбыту</t>
  </si>
  <si>
    <t>Начальник участка</t>
  </si>
  <si>
    <t>Инженер ОТК</t>
  </si>
  <si>
    <t>Инженер технолог</t>
  </si>
  <si>
    <t>Наладчик</t>
  </si>
  <si>
    <t>Станочник</t>
  </si>
  <si>
    <t>Маляр порошковой окраски</t>
  </si>
  <si>
    <t>Резчик металла</t>
  </si>
  <si>
    <t>Оператор гибочного станка</t>
  </si>
  <si>
    <t>Рабочий на производство</t>
  </si>
  <si>
    <t>Грузчик</t>
  </si>
  <si>
    <t>Уборщик, дворник</t>
  </si>
  <si>
    <t>Охранник</t>
  </si>
  <si>
    <t>2.4</t>
  </si>
  <si>
    <t>2.5</t>
  </si>
  <si>
    <t>2.6</t>
  </si>
  <si>
    <t>2.7</t>
  </si>
  <si>
    <t>Прогноз цен на закупку сырья для производства</t>
  </si>
  <si>
    <t>Прогноз цен на постоянные расходы</t>
  </si>
  <si>
    <t>Обоснование инвестиционного проекта и управленческое решение</t>
  </si>
  <si>
    <t>Подготовка площадки и инженерных сетей к строительству, получение тех. условий</t>
  </si>
  <si>
    <t>Получение финансирования</t>
  </si>
  <si>
    <t>Создание комплексного проекта завода</t>
  </si>
  <si>
    <t>Строительство 1 цеха</t>
  </si>
  <si>
    <t>Закупка и монтаж оборудования для 1 цеха</t>
  </si>
  <si>
    <t>Привлечение персонала для 1 -ого цеха</t>
  </si>
  <si>
    <t>Пуско-наладка оборудования в 1 цеху</t>
  </si>
  <si>
    <t xml:space="preserve">Закупка сырья и материалов для производства </t>
  </si>
  <si>
    <t>Запуск 1 цеха</t>
  </si>
  <si>
    <t>Подготовка площадки и инженерных сетей к строительству, получение тех. Условий для строительства 2 -ого цеха</t>
  </si>
  <si>
    <t>Строительство 2 – ого цеха</t>
  </si>
  <si>
    <t>Закупка и монтаж оборудования для 2 цеха</t>
  </si>
  <si>
    <t>Привлечение персонала для 2-ого цеха</t>
  </si>
  <si>
    <t>Пуско-наладка оборудования во 2 цеху</t>
  </si>
  <si>
    <t>Закупка сырья и материалов</t>
  </si>
  <si>
    <t>Запуск 2 цеха</t>
  </si>
  <si>
    <t>Подготовка площадки и инженерных сетей к строительству, получение тех. Условий для строительства 3 -ого цеха</t>
  </si>
  <si>
    <t>Строительство 3 – ого цеха</t>
  </si>
  <si>
    <t>Запуск 3 цеха</t>
  </si>
  <si>
    <t>Сдача в аренду площадей 3-ого цеха</t>
  </si>
  <si>
    <t>Подготовка площадки и инженерных сетей к строительству, получение тех. Условий для строительства 4 -ого цеха</t>
  </si>
  <si>
    <t>Строительство 4 – ого цеха</t>
  </si>
  <si>
    <t>Запуск 4 цеха</t>
  </si>
  <si>
    <t>Сдача в аренду площадей 4-ого цеха</t>
  </si>
  <si>
    <t>Регистрация юридического лица (уставный капитал)</t>
  </si>
  <si>
    <t>Строительство и обустройство территории и помещений</t>
  </si>
  <si>
    <t>Пояснительная записка</t>
  </si>
  <si>
    <t>Схема планировочной организации земельного участка</t>
  </si>
  <si>
    <t>АР "Архитектурные решения"</t>
  </si>
  <si>
    <t>КМ "Конструкции металлические"</t>
  </si>
  <si>
    <t>КЖ "Конструкции железобетонные"</t>
  </si>
  <si>
    <t>ПОС "Проект организации строительства"</t>
  </si>
  <si>
    <t>ООС "Перечень мероприятий по охране окружающей среды"</t>
  </si>
  <si>
    <t>КРР "Статический расчёт нагрузок"</t>
  </si>
  <si>
    <t>НВК "Наружные сети водоснабжения и канализации"</t>
  </si>
  <si>
    <t>ВК "Внутренние сети водоснабжения и канализации"</t>
  </si>
  <si>
    <t>ЭС "Наружное электроснабжение"</t>
  </si>
  <si>
    <t>ЭО "Внутреннее электроосвещение"</t>
  </si>
  <si>
    <t>ЭН "Наружное электроосвещение"</t>
  </si>
  <si>
    <t>ЭМ "Силовое электрооборудование"</t>
  </si>
  <si>
    <t>ОВ "Отопление и вентиляция" внутренние сети</t>
  </si>
  <si>
    <t>ВС "Воздухоснабжение"</t>
  </si>
  <si>
    <t>ТС "Теплоснабжение" наружные сети</t>
  </si>
  <si>
    <t>АОВ "Автоматизация отопления и вентиляции"</t>
  </si>
  <si>
    <t>НСС "Наружные сети связи"</t>
  </si>
  <si>
    <t>ВН "Видеонаблюдение"</t>
  </si>
  <si>
    <t>ОС "Охранная сигнализация"</t>
  </si>
  <si>
    <t>СКС "Структурированные кабельные сети"</t>
  </si>
  <si>
    <t>СОУЭ "Система оповещения и управления эвакуацией"</t>
  </si>
  <si>
    <t>ПТ "Пожаротушение"</t>
  </si>
  <si>
    <t>ТХ «Технологические решения»</t>
  </si>
  <si>
    <t>Ремонт АБК</t>
  </si>
  <si>
    <t>Благоустройство (дороги, площадки и т.д)</t>
  </si>
  <si>
    <t xml:space="preserve">Непредвиденные расходы 2% от инвестиций </t>
  </si>
  <si>
    <t xml:space="preserve">Грузовые а/м </t>
  </si>
  <si>
    <t>Складская техника (погрузчики)</t>
  </si>
  <si>
    <t>Офисное оборудование (ПК, телефон, принтер)</t>
  </si>
  <si>
    <t>Складское оборудование (стеллажи, подъемные механизмы и т.д)</t>
  </si>
  <si>
    <t>Лентопильный станок</t>
  </si>
  <si>
    <t>Рольганг 4м</t>
  </si>
  <si>
    <t>Аппарат полуавтоматической сварки ПТК RILON MIG 350 GF с с манометром и рукавом (комплект сварочного поста)</t>
  </si>
  <si>
    <t>Редукторный сверлильный станок с крестовым столом JMD-40PFCT</t>
  </si>
  <si>
    <t>Резьбонарезной манипулятор EMT-16+ (c подачей СОЖ)</t>
  </si>
  <si>
    <t>Стоимость за ед., тыс. руб.</t>
  </si>
  <si>
    <t>Труборез LX62TE 3000W</t>
  </si>
  <si>
    <t xml:space="preserve">Установка лазерной резки GWEIKE LF3015GA 3 кВт </t>
  </si>
  <si>
    <t>Компрессор винтовой MAGNUS AE1-18A 16 bar</t>
  </si>
  <si>
    <t>Сборочный стол мал (2000х1000) (собственное изготовление/тест лазрного стола)</t>
  </si>
  <si>
    <t>Сборочный стол (рама) бол. (4м) (собственное изготовление)</t>
  </si>
  <si>
    <t>Ограждения для сварочных постов (собственное изготовление)</t>
  </si>
  <si>
    <t>Стойки для хранения сорт/трубн проката/заготовки для рам (собственное изготовление)</t>
  </si>
  <si>
    <t>Угловая шлифмашина AEG WS13-125XE 4935451410</t>
  </si>
  <si>
    <t>Угловая шлифмашина AEG WS 2200-230DMS 4935428500</t>
  </si>
  <si>
    <t>Комплекты инструментов</t>
  </si>
  <si>
    <t>Дрель-шуруповерт AEG BS18G4-202C 4935478630</t>
  </si>
  <si>
    <t xml:space="preserve">Газовые балоны </t>
  </si>
  <si>
    <t>Верстаки</t>
  </si>
  <si>
    <t>Wilton Прецизионные сверлильные тиски 125 мм (для сверлильного)</t>
  </si>
  <si>
    <t>Точильный станок Ресанта Т-200/450 75/7/3</t>
  </si>
  <si>
    <t>Струбцина корпусная 610 мм</t>
  </si>
  <si>
    <t>Сварочные тележки</t>
  </si>
  <si>
    <t>Чугунные поворотные тиски с трубным зажимом и наковальней Berger BG ТОНАР 150мм BG1338</t>
  </si>
  <si>
    <t xml:space="preserve">Компрессор  </t>
  </si>
  <si>
    <t>Газификатор</t>
  </si>
  <si>
    <t xml:space="preserve">Тиски, патроны, сверла </t>
  </si>
  <si>
    <t>Метчики</t>
  </si>
  <si>
    <t>Кол-во работников с запуском 1 цеха (01.12.2023)</t>
  </si>
  <si>
    <t>Кол-во работников с запуском 2 цеха (01.12.2024)</t>
  </si>
  <si>
    <t>Кол-во работников с запуском 4 цеха (01.11.2026)</t>
  </si>
  <si>
    <t>Кол-во работников с запуском 3 цеха (01.11.2025)</t>
  </si>
  <si>
    <t>Условия лизинга</t>
  </si>
  <si>
    <t>Ставка по лизингу в год, %</t>
  </si>
  <si>
    <t>Выплаты процентов по лизингу</t>
  </si>
  <si>
    <t>Выплата тела долга лизинга</t>
  </si>
  <si>
    <t>Себестоимость 1 кв.м. НФС</t>
  </si>
  <si>
    <t>Сдача в аренду цехов</t>
  </si>
  <si>
    <t>1 месяц аренды 1 цеха</t>
  </si>
  <si>
    <t>План продаж по месяцам, кв.м.</t>
  </si>
  <si>
    <t>План продаж по годам, кв.м.</t>
  </si>
  <si>
    <t>Себестоимость НФС с облицовкой кирпичной кладкой</t>
  </si>
  <si>
    <t>Себестоимость НФС с облицовкой СФБ</t>
  </si>
  <si>
    <t>Себестоимость НФС с облицовкой натуральным камнем</t>
  </si>
  <si>
    <t>Себестоимость НФС с облицовкой клинкерной плиткой</t>
  </si>
  <si>
    <t>Себестоимость НФС с облицовкой керамогранитом</t>
  </si>
  <si>
    <t>7</t>
  </si>
  <si>
    <t>8</t>
  </si>
  <si>
    <t>Сдача в аренду цеха</t>
  </si>
  <si>
    <t>Итог НФС (кв.м.)</t>
  </si>
  <si>
    <t>Коммунальные расходы</t>
  </si>
  <si>
    <t>Охрана труда</t>
  </si>
  <si>
    <t>Упаковка</t>
  </si>
  <si>
    <t>Хозрасходы, канцтовары</t>
  </si>
  <si>
    <t>Выплаты процентов по кредиту 1</t>
  </si>
  <si>
    <t>Выплаты процентов по кредиту 2</t>
  </si>
  <si>
    <t>Выплаты процентов по кредиту 3</t>
  </si>
  <si>
    <t>Выплаты процентов по кредиту 4</t>
  </si>
  <si>
    <t>Периоды выплат % по кредиту 3</t>
  </si>
  <si>
    <t>Периоды выплат % по кредиту 4</t>
  </si>
  <si>
    <t>Периоды выплат % по кредиту 1</t>
  </si>
  <si>
    <t>Периоды выплат % по кредиту 2</t>
  </si>
  <si>
    <t xml:space="preserve">Период выплат тела кредита 1 </t>
  </si>
  <si>
    <t xml:space="preserve">Период выплат тела кредита 2 </t>
  </si>
  <si>
    <t xml:space="preserve">Период выплат тела кредита 3 </t>
  </si>
  <si>
    <t xml:space="preserve">Период выплат тела кредита 4 </t>
  </si>
  <si>
    <t>Выплата тела долга кредита 1</t>
  </si>
  <si>
    <t>Выплата тела долга кредита 2</t>
  </si>
  <si>
    <t>Выплата тела долга кредита 3</t>
  </si>
  <si>
    <t>Выплата тела долга кредита 4</t>
  </si>
  <si>
    <t>Строительство цеха 1</t>
  </si>
  <si>
    <t>Строительство цеха 2</t>
  </si>
  <si>
    <t>Строительство цеха 3</t>
  </si>
  <si>
    <t>Строительство цеха 4</t>
  </si>
  <si>
    <t>Земельный участок</t>
  </si>
  <si>
    <t xml:space="preserve">Автоматическая покрасочная камера </t>
  </si>
  <si>
    <t>9</t>
  </si>
  <si>
    <t>Производственный цех 1</t>
  </si>
  <si>
    <t>Производственный цех 2</t>
  </si>
  <si>
    <t>Производственный цех 3</t>
  </si>
  <si>
    <t>Производственный цех 4</t>
  </si>
  <si>
    <t>Остаточная стоимость производственного цеха 1</t>
  </si>
  <si>
    <t>Остаточная стоимость производственного цеха 2</t>
  </si>
  <si>
    <t>Остаточная стоимость производственного цеха 3</t>
  </si>
  <si>
    <t>Остаточная стоимость производственного цеха 4</t>
  </si>
  <si>
    <t>Обслуживание линии порошковой окраски</t>
  </si>
  <si>
    <t xml:space="preserve">Обслуживание производства </t>
  </si>
  <si>
    <t>собственные средства</t>
  </si>
  <si>
    <t>лизинг</t>
  </si>
  <si>
    <t>кредит</t>
  </si>
  <si>
    <t>Периоды выплат % по лизингу</t>
  </si>
  <si>
    <t xml:space="preserve">Период выплат тела лизинга </t>
  </si>
  <si>
    <t>Кредитные средства 1</t>
  </si>
  <si>
    <t>Кредитные средства 2</t>
  </si>
  <si>
    <t>Кредитные средства 3</t>
  </si>
  <si>
    <t>Кредитные средства 4</t>
  </si>
  <si>
    <t>Лизинг</t>
  </si>
  <si>
    <t>Кадастровая стоимость земельного участка</t>
  </si>
  <si>
    <t>По данным Росреестра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</si>
  <si>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</si>
  <si>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</si>
  <si>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</si>
  <si>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</si>
  <si>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</si>
  <si>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</si>
  <si>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</si>
  <si>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</si>
  <si>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</si>
  <si>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</si>
  <si>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</si>
  <si>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</si>
  <si>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</si>
  <si>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</si>
  <si>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</si>
  <si>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</si>
  <si>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</si>
  <si>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</si>
  <si>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</si>
  <si>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</si>
  <si>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</si>
  <si>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</si>
  <si>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</si>
  <si>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</si>
  <si>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</si>
  <si>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</si>
  <si>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</si>
  <si>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</si>
  <si>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</si>
  <si>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</si>
  <si>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</si>
  <si>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</si>
  <si>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</si>
  <si>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</si>
  <si>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</si>
  <si>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</si>
  <si>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</si>
  <si>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</si>
  <si>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</si>
  <si>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</si>
  <si>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</si>
  <si>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</si>
  <si>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</si>
  <si>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</si>
  <si>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</si>
  <si>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</si>
  <si>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</si>
  <si>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8.1</t>
  </si>
  <si>
    <t>8.2</t>
  </si>
  <si>
    <t>8.3</t>
  </si>
  <si>
    <t>8.4</t>
  </si>
  <si>
    <t>*MOSPRIME 6M на май 2023</t>
  </si>
  <si>
    <t>Выплата процентов по кредитам и лизингу ВСЕГО</t>
  </si>
  <si>
    <t>Выплата тела долга по кредитам и лизингу ВСЕГО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</si>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</sst>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41" formatCode="_-* #,##0_-;\-* #,##0_-;_-* &quot;-&quot;_-;_-@_-"/>
    <numFmt numFmtId="43" formatCode="_-* #,##0.00_-;\-* #,##0.00_-;_-* &quot;-&quot;??_-;_-@_-"/>
    <numFmt numFmtId="164" formatCode="#,##0.00&quot;р.&quot;;\-#,##0.00&quot;р.&quot;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0.0"/>
    <numFmt numFmtId="173" formatCode="0.0%"/>
    <numFmt numFmtId="174" formatCode="[$-419]mmmm\ yyyy;@"/>
    <numFmt numFmtId="175" formatCode="0.000"/>
    <numFmt numFmtId="176" formatCode="#,##0_ ;[Red]\-#,##0\ "/>
    <numFmt numFmtId="177" formatCode="#,##0.00_ ;\-#,##0.00\ "/>
    <numFmt numFmtId="178" formatCode="#,##0.00_ ;[Red]\-#,##0.00\ "/>
    <numFmt numFmtId="179" formatCode="_(&quot;$&quot;* #,##0_);_(&quot;$&quot;* \(#,##0\);_(&quot;$&quot;* &quot;-&quot;??_);_(@_)"/>
    <numFmt numFmtId="180" formatCode="#,##0.000_ ;\-#,##0.000\ "/>
    <numFmt numFmtId="181" formatCode="#,##0______;;&quot;------------      &quot;"/>
    <numFmt numFmtId="182" formatCode="#,##0;\(#,##0\)"/>
    <numFmt numFmtId="183" formatCode="d/m/yyyy"/>
    <numFmt numFmtId="184" formatCode="_-&quot;£&quot;* #,##0_-;\-&quot;£&quot;* #,##0_-;_-&quot;£&quot;* &quot;-&quot;_-;_-@_-"/>
    <numFmt numFmtId="185" formatCode="_-&quot;£&quot;* #,##0.00_-;\-&quot;£&quot;* #,##0.00_-;_-&quot;£&quot;* &quot;-&quot;??_-;_-@_-"/>
    <numFmt numFmtId="186" formatCode="#,##0.00&quot;т.р.&quot;;\-#,##0.00&quot;т.р.&quot;"/>
    <numFmt numFmtId="187" formatCode="\(#,##0.0\)"/>
    <numFmt numFmtId="188" formatCode="#,##0\ &quot;?.&quot;;\-#,##0\ &quot;?.&quot;"/>
    <numFmt numFmtId="189" formatCode="_-* #,##0.000_р_._-;\-* #,##0.000_р_._-;_-* &quot;-&quot;???????_р_._-;_-@_-"/>
    <numFmt numFmtId="190" formatCode="_-* #,##0\ _$_-;\-* #,##0\ _$_-;_-* &quot;-&quot;\ _$_-;_-@_-"/>
    <numFmt numFmtId="191" formatCode="_-&quot;$&quot;* #,##0_-;\-&quot;$&quot;* #,##0_-;_-&quot;$&quot;* &quot;-&quot;_-;_-@_-"/>
    <numFmt numFmtId="192" formatCode="#,##0%;\-#,##0%;&quot;- &quot;"/>
    <numFmt numFmtId="193" formatCode="#,##0.00%;\-#,##0.00%;&quot;- &quot;"/>
    <numFmt numFmtId="194" formatCode="_-&quot;$&quot;* #,##0.00_-;\-&quot;$&quot;* #,##0.00_-;_-&quot;$&quot;* &quot;-&quot;??_-;_-@_-"/>
    <numFmt numFmtId="195" formatCode="_(* #,##0.0_);_(* \(#,##0.0\);_(* &quot;-&quot;??_);_(@_)"/>
    <numFmt numFmtId="196" formatCode="_-* #,##0_р_._-;\-* #,##0_р_._-;_-* &quot;-&quot;?_р_._-;_-@_-"/>
    <numFmt numFmtId="197" formatCode="#,##0;\-#,##0;&quot;-&quot;"/>
    <numFmt numFmtId="198" formatCode="#,##0.00;\-#,##0.00;&quot;-&quot;"/>
    <numFmt numFmtId="199" formatCode="_-* #,##0.0_$_-;\-* #,##0.0_$_-;_-* &quot;-&quot;??_$_-;_-@_-"/>
    <numFmt numFmtId="200" formatCode="&quot;£&quot;#,##0_);\(&quot;£&quot;#,##0\)"/>
    <numFmt numFmtId="201" formatCode="#,##0.0;\-#,##0.0;&quot;-&quot;"/>
    <numFmt numFmtId="202" formatCode="&quot;¥&quot;#,##0_);\(&quot;¥&quot;#,##0\)"/>
    <numFmt numFmtId="203" formatCode="0%;\(0%\)"/>
    <numFmt numFmtId="204" formatCode="#,##0.0_);\(#,##0.0\)"/>
    <numFmt numFmtId="205" formatCode="_-\$* #,##0_-;&quot;-$&quot;* #,##0_-;_-\$* \-_-;_-@_-"/>
    <numFmt numFmtId="206" formatCode="_-\$* #,##0.00_-;&quot;-$&quot;* #,##0.00_-;_-\$* \-??_-;_-@_-"/>
    <numFmt numFmtId="207" formatCode="_(* #,##0.0_);_(* \(#,##0.0\);_(* \-??_);_(@_)"/>
    <numFmt numFmtId="208" formatCode="_-* #,##0_р_._-;\-* #,##0_р_._-;_-* \-?_р_._-;_-@_-"/>
    <numFmt numFmtId="209" formatCode="_(\$* #,##0_);_(\$* \(#,##0\);_(\$* \-_);_(@_)"/>
    <numFmt numFmtId="210" formatCode="#,##0;\-#,##0;\-"/>
    <numFmt numFmtId="211" formatCode="#,##0.00;\-#,##0.00;\-"/>
    <numFmt numFmtId="212" formatCode="_(\$* #,##0.00_);_(\$* \(#,##0.00\);_(\$* \-??_);_(@_)"/>
    <numFmt numFmtId="213" formatCode="d\ mmm&quot;, &quot;yy"/>
    <numFmt numFmtId="214" formatCode="_-* #,##0_р_._-;\-* #,##0_р_._-;_-* \-_р_._-;_-@_-"/>
    <numFmt numFmtId="215" formatCode="_-* #,##0.00_р_._-;\-* #,##0.00_р_._-;_-* \-??_р_._-;_-@_-"/>
    <numFmt numFmtId="216" formatCode="#,##0.0;\-#,##0.0;\-"/>
    <numFmt numFmtId="217" formatCode="_(* #,##0.00_);_(* \(#,##0.00\);_(* \-??_);_(@_)"/>
    <numFmt numFmtId="218" formatCode="_(\$* #,##0_);_(\$* \(#,##0\);_(\$* \-??_);_(@_)"/>
    <numFmt numFmtId="219" formatCode="0.00000%"/>
    <numFmt numFmtId="220" formatCode="#,##0.000"/>
    <numFmt numFmtId="221" formatCode="#,##0.0"/>
  </numFmts>
  <fonts count="18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1"/>
      <color indexed="12"/>
      <name val="Arial"/>
      <family val="2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Tms Rmn"/>
      <charset val="204"/>
    </font>
    <font>
      <sz val="14"/>
      <name val="Verdana"/>
      <family val="2"/>
    </font>
    <font>
      <b/>
      <u/>
      <sz val="14"/>
      <name val="Arial"/>
      <family val="2"/>
    </font>
    <font>
      <b/>
      <i/>
      <sz val="11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0"/>
      <name val="Arial Cyr"/>
      <family val="2"/>
      <charset val="204"/>
    </font>
    <font>
      <sz val="12"/>
      <name val="Gill Sans"/>
    </font>
    <font>
      <sz val="14"/>
      <name val="NewtonC"/>
      <charset val="204"/>
    </font>
    <font>
      <sz val="10"/>
      <name val="Arial"/>
      <family val="2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8"/>
      <name val="Arial"/>
      <family val="2"/>
    </font>
    <font>
      <sz val="10"/>
      <color indexed="62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sz val="8"/>
      <name val="Arial CYR"/>
    </font>
    <font>
      <b/>
      <sz val="14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i/>
      <sz val="14"/>
      <color indexed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2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family val="2"/>
      <charset val="204"/>
    </font>
    <font>
      <sz val="10"/>
      <color indexed="8"/>
      <name val="MS Sans Serif"/>
      <family val="2"/>
      <charset val="204"/>
    </font>
    <font>
      <b/>
      <sz val="10"/>
      <name val="Arial"/>
      <family val="2"/>
    </font>
    <font>
      <sz val="10"/>
      <name val="Helv"/>
      <family val="2"/>
    </font>
    <font>
      <b/>
      <sz val="11"/>
      <name val="Arial"/>
      <family val="2"/>
    </font>
    <font>
      <sz val="12"/>
      <name val="Arial"/>
      <family val="2"/>
    </font>
    <font>
      <b/>
      <sz val="19"/>
      <color indexed="9"/>
      <name val="Arial"/>
      <family val="2"/>
    </font>
    <font>
      <sz val="14"/>
      <name val="TimesNewRomanPS"/>
      <family val="1"/>
    </font>
    <font>
      <sz val="8"/>
      <name val="Arial"/>
      <family val="2"/>
    </font>
    <font>
      <u val="singleAccounting"/>
      <sz val="10"/>
      <name val="Arial"/>
      <family val="2"/>
    </font>
    <font>
      <sz val="10"/>
      <color indexed="8"/>
      <name val="Arial"/>
      <family val="2"/>
    </font>
    <font>
      <sz val="10"/>
      <name val="Geneva"/>
      <family val="2"/>
    </font>
    <font>
      <sz val="10"/>
      <color indexed="10"/>
      <name val="Arial"/>
      <family val="2"/>
    </font>
    <font>
      <sz val="12"/>
      <name val="Tms Rmn"/>
      <family val="1"/>
      <charset val="204"/>
    </font>
    <font>
      <i/>
      <sz val="12"/>
      <name val="Tms Rmn"/>
      <family val="1"/>
      <charset val="204"/>
    </font>
    <font>
      <u/>
      <sz val="10"/>
      <name val="Arial"/>
      <family val="2"/>
    </font>
    <font>
      <sz val="8"/>
      <name val="Arial Cyr"/>
      <family val="2"/>
    </font>
    <font>
      <sz val="14"/>
      <color indexed="8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Tahoma"/>
      <family val="2"/>
      <charset val="204"/>
    </font>
    <font>
      <sz val="10"/>
      <name val="Helv"/>
      <charset val="204"/>
    </font>
    <font>
      <sz val="10"/>
      <name val="TimesET"/>
      <charset val="204"/>
    </font>
    <font>
      <sz val="10"/>
      <name val="Times New Roman Cyr"/>
      <family val="1"/>
      <charset val="204"/>
    </font>
    <font>
      <b/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sz val="10"/>
      <color indexed="56"/>
      <name val="Tahoma"/>
      <family val="2"/>
      <charset val="204"/>
    </font>
    <font>
      <sz val="10"/>
      <name val="MS Sans Serif"/>
      <family val="2"/>
    </font>
    <font>
      <sz val="8"/>
      <name val="Arial"/>
      <family val="2"/>
      <charset val="204"/>
    </font>
    <font>
      <sz val="12"/>
      <name val="宋体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</font>
    <font>
      <b/>
      <sz val="10"/>
      <color indexed="23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0"/>
      <name val="Tahoma"/>
      <family val="2"/>
      <charset val="204"/>
    </font>
    <font>
      <sz val="11"/>
      <color theme="0"/>
      <name val="Calibri"/>
      <family val="2"/>
      <scheme val="minor"/>
    </font>
    <font>
      <sz val="10"/>
      <color rgb="FF3F3F76"/>
      <name val="Tahoma"/>
      <family val="2"/>
      <charset val="204"/>
    </font>
    <font>
      <b/>
      <sz val="10"/>
      <color rgb="FF3F3F3F"/>
      <name val="Tahoma"/>
      <family val="2"/>
      <charset val="204"/>
    </font>
    <font>
      <b/>
      <sz val="10"/>
      <color rgb="FFFA7D00"/>
      <name val="Tahoma"/>
      <family val="2"/>
      <charset val="204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5"/>
      <color theme="3"/>
      <name val="Tahoma"/>
      <family val="2"/>
      <charset val="204"/>
    </font>
    <font>
      <b/>
      <sz val="13"/>
      <color theme="3"/>
      <name val="Tahoma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theme="3"/>
      <name val="Tahoma"/>
      <family val="2"/>
      <charset val="204"/>
    </font>
    <font>
      <b/>
      <sz val="11"/>
      <color theme="3"/>
      <name val="Calibri"/>
      <family val="2"/>
      <scheme val="minor"/>
    </font>
    <font>
      <b/>
      <sz val="10"/>
      <color theme="1"/>
      <name val="Tahoma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Tahoma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color rgb="FF9C0006"/>
      <name val="Tahoma"/>
      <family val="2"/>
      <charset val="204"/>
    </font>
    <font>
      <i/>
      <sz val="10"/>
      <color rgb="FF7F7F7F"/>
      <name val="Tahoma"/>
      <family val="2"/>
      <charset val="204"/>
    </font>
    <font>
      <sz val="10"/>
      <color rgb="FFFA7D00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color rgb="FF006100"/>
      <name val="Tahoma"/>
      <family val="2"/>
      <charset val="204"/>
    </font>
    <font>
      <b/>
      <sz val="12"/>
      <color theme="1" tint="0.499984740745262"/>
      <name val="Calibri"/>
      <family val="2"/>
      <charset val="204"/>
      <scheme val="minor"/>
    </font>
    <font>
      <b/>
      <i/>
      <sz val="10"/>
      <color indexed="23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2"/>
      <color indexed="23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b/>
      <i/>
      <sz val="12"/>
      <color indexed="2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23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theme="1" tint="0.499984740745262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i/>
      <sz val="10"/>
      <color indexed="55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i/>
      <sz val="10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indexed="23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2"/>
      <color theme="0" tint="-0.499984740745262"/>
      <name val="Calibri"/>
      <family val="2"/>
      <charset val="204"/>
      <scheme val="minor"/>
    </font>
    <font>
      <b/>
      <sz val="12"/>
      <color indexed="62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indexed="23"/>
      <name val="Tahoma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i/>
      <sz val="10"/>
      <color rgb="FFC00000"/>
      <name val="Calibri"/>
      <family val="2"/>
      <charset val="204"/>
      <scheme val="minor"/>
    </font>
    <font>
      <sz val="11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22"/>
      <color indexed="8"/>
      <name val="Tahoma"/>
      <family val="2"/>
      <charset val="204"/>
    </font>
    <font>
      <sz val="12"/>
      <name val="Tahoma"/>
      <family val="2"/>
      <charset val="204"/>
    </font>
    <font>
      <sz val="26"/>
      <name val="Tahoma"/>
      <family val="2"/>
      <charset val="204"/>
    </font>
    <font>
      <sz val="26"/>
      <color indexed="8"/>
      <name val="Tahoma"/>
      <family val="2"/>
      <charset val="204"/>
    </font>
    <font>
      <b/>
      <sz val="16"/>
      <name val="Tahoma"/>
      <family val="2"/>
      <charset val="204"/>
    </font>
    <font>
      <b/>
      <i/>
      <sz val="10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8"/>
      <color theme="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indexed="23"/>
      <name val="Tahoma"/>
      <family val="2"/>
      <charset val="204"/>
    </font>
    <font>
      <b/>
      <sz val="8"/>
      <color indexed="23"/>
      <name val="Tahoma"/>
      <family val="2"/>
      <charset val="204"/>
    </font>
  </fonts>
  <fills count="1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31"/>
        <bgColor indexed="19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19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34"/>
        <bgColor indexed="19"/>
      </patternFill>
    </fill>
    <fill>
      <patternFill patternType="lightGray">
        <fgColor indexed="22"/>
        <bgColor indexed="22"/>
      </patternFill>
    </fill>
    <fill>
      <patternFill patternType="solid">
        <fgColor indexed="22"/>
        <bgColor indexed="50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indexed="50"/>
        <bgColor indexed="22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51"/>
      </patternFill>
    </fill>
    <fill>
      <patternFill patternType="gray0625"/>
    </fill>
    <fill>
      <patternFill patternType="solid">
        <fgColor indexed="41"/>
        <bgColor indexed="9"/>
      </patternFill>
    </fill>
    <fill>
      <patternFill patternType="gray0625"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41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21"/>
        <bgColor indexed="38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49"/>
      </patternFill>
    </fill>
    <fill>
      <patternFill patternType="solid">
        <fgColor indexed="15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7" tint="-0.249977111117893"/>
      </left>
      <right/>
      <top style="thick">
        <color theme="7" tint="-0.249977111117893"/>
      </top>
      <bottom/>
      <diagonal/>
    </border>
    <border>
      <left/>
      <right/>
      <top style="thick">
        <color theme="7" tint="-0.249977111117893"/>
      </top>
      <bottom/>
      <diagonal/>
    </border>
    <border>
      <left/>
      <right style="thick">
        <color theme="7" tint="-0.249977111117893"/>
      </right>
      <top style="thick">
        <color theme="7" tint="-0.249977111117893"/>
      </top>
      <bottom/>
      <diagonal/>
    </border>
    <border>
      <left style="thick">
        <color theme="7" tint="-0.249977111117893"/>
      </left>
      <right/>
      <top/>
      <bottom/>
      <diagonal/>
    </border>
    <border>
      <left/>
      <right style="thick">
        <color theme="7" tint="-0.249977111117893"/>
      </right>
      <top/>
      <bottom/>
      <diagonal/>
    </border>
    <border>
      <left style="thick">
        <color theme="7" tint="-0.249977111117893"/>
      </left>
      <right/>
      <top/>
      <bottom style="thick">
        <color theme="7" tint="-0.249977111117893"/>
      </bottom>
      <diagonal/>
    </border>
    <border>
      <left/>
      <right/>
      <top/>
      <bottom style="thick">
        <color theme="7" tint="-0.249977111117893"/>
      </bottom>
      <diagonal/>
    </border>
    <border>
      <left/>
      <right style="thick">
        <color theme="7" tint="-0.249977111117893"/>
      </right>
      <top/>
      <bottom style="thick">
        <color theme="7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11">
    <xf numFmtId="0" fontId="0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8" fillId="0" borderId="0" applyFont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182" fontId="5" fillId="2" borderId="1">
      <alignment wrapText="1"/>
      <protection locked="0"/>
    </xf>
    <xf numFmtId="182" fontId="5" fillId="3" borderId="2">
      <alignment wrapText="1"/>
      <protection locked="0"/>
    </xf>
    <xf numFmtId="182" fontId="5" fillId="3" borderId="2">
      <alignment wrapText="1"/>
      <protection locked="0"/>
    </xf>
    <xf numFmtId="182" fontId="5" fillId="3" borderId="2">
      <alignment wrapText="1"/>
      <protection locked="0"/>
    </xf>
    <xf numFmtId="183" fontId="5" fillId="2" borderId="1">
      <alignment wrapText="1"/>
      <protection locked="0"/>
    </xf>
    <xf numFmtId="183" fontId="5" fillId="3" borderId="2">
      <alignment wrapText="1"/>
      <protection locked="0"/>
    </xf>
    <xf numFmtId="183" fontId="5" fillId="3" borderId="2">
      <alignment wrapText="1"/>
      <protection locked="0"/>
    </xf>
    <xf numFmtId="183" fontId="5" fillId="3" borderId="2">
      <alignment wrapText="1"/>
      <protection locked="0"/>
    </xf>
    <xf numFmtId="174" fontId="38" fillId="0" borderId="0">
      <alignment vertical="top"/>
    </xf>
    <xf numFmtId="9" fontId="38" fillId="4" borderId="0"/>
    <xf numFmtId="9" fontId="38" fillId="5" borderId="0"/>
    <xf numFmtId="9" fontId="38" fillId="5" borderId="0"/>
    <xf numFmtId="9" fontId="38" fillId="5" borderId="0"/>
    <xf numFmtId="174" fontId="5" fillId="0" borderId="0"/>
    <xf numFmtId="174" fontId="5" fillId="0" borderId="0"/>
    <xf numFmtId="174" fontId="5" fillId="0" borderId="0"/>
    <xf numFmtId="174" fontId="5" fillId="0" borderId="0"/>
    <xf numFmtId="174" fontId="38" fillId="0" borderId="0"/>
    <xf numFmtId="0" fontId="91" fillId="6" borderId="0"/>
    <xf numFmtId="174" fontId="1" fillId="7" borderId="0" applyNumberFormat="0" applyBorder="0" applyAlignment="0" applyProtection="0"/>
    <xf numFmtId="174" fontId="1" fillId="8" borderId="0" applyNumberFormat="0" applyBorder="0" applyAlignment="0" applyProtection="0"/>
    <xf numFmtId="174" fontId="1" fillId="8" borderId="0" applyNumberFormat="0" applyBorder="0" applyAlignment="0" applyProtection="0"/>
    <xf numFmtId="174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174" fontId="1" fillId="9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174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174" fontId="1" fillId="11" borderId="0" applyNumberFormat="0" applyBorder="0" applyAlignment="0" applyProtection="0"/>
    <xf numFmtId="174" fontId="1" fillId="5" borderId="0" applyNumberFormat="0" applyBorder="0" applyAlignment="0" applyProtection="0"/>
    <xf numFmtId="174" fontId="1" fillId="5" borderId="0" applyNumberFormat="0" applyBorder="0" applyAlignment="0" applyProtection="0"/>
    <xf numFmtId="174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1" fillId="12" borderId="0" applyNumberFormat="0" applyBorder="0" applyAlignment="0" applyProtection="0"/>
    <xf numFmtId="174" fontId="1" fillId="13" borderId="0" applyNumberFormat="0" applyBorder="0" applyAlignment="0" applyProtection="0"/>
    <xf numFmtId="174" fontId="1" fillId="13" borderId="0" applyNumberFormat="0" applyBorder="0" applyAlignment="0" applyProtection="0"/>
    <xf numFmtId="174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1" fillId="14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174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4" fontId="1" fillId="16" borderId="0" applyNumberFormat="0" applyBorder="0" applyAlignment="0" applyProtection="0"/>
    <xf numFmtId="174" fontId="1" fillId="17" borderId="0" applyNumberFormat="0" applyBorder="0" applyAlignment="0" applyProtection="0"/>
    <xf numFmtId="174" fontId="1" fillId="17" borderId="0" applyNumberFormat="0" applyBorder="0" applyAlignment="0" applyProtection="0"/>
    <xf numFmtId="174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03" fillId="7" borderId="0" applyNumberFormat="0" applyBorder="0" applyAlignment="0" applyProtection="0"/>
    <xf numFmtId="174" fontId="24" fillId="7" borderId="0" applyNumberFormat="0" applyBorder="0" applyAlignment="0" applyProtection="0"/>
    <xf numFmtId="174" fontId="24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174" fontId="24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174" fontId="24" fillId="8" borderId="0" applyNumberFormat="0" applyBorder="0" applyAlignment="0" applyProtection="0"/>
    <xf numFmtId="174" fontId="24" fillId="8" borderId="0" applyNumberFormat="0" applyBorder="0" applyAlignment="0" applyProtection="0"/>
    <xf numFmtId="174" fontId="24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174" fontId="24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174" fontId="24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174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174" fontId="24" fillId="7" borderId="0" applyNumberFormat="0" applyBorder="0" applyAlignment="0" applyProtection="0"/>
    <xf numFmtId="174" fontId="24" fillId="7" borderId="0" applyNumberFormat="0" applyBorder="0" applyAlignment="0" applyProtection="0"/>
    <xf numFmtId="174" fontId="24" fillId="7" borderId="0" applyNumberFormat="0" applyBorder="0" applyAlignment="0" applyProtection="0"/>
    <xf numFmtId="0" fontId="103" fillId="7" borderId="0" applyNumberFormat="0" applyBorder="0" applyAlignment="0" applyProtection="0"/>
    <xf numFmtId="0" fontId="103" fillId="9" borderId="0" applyNumberFormat="0" applyBorder="0" applyAlignment="0" applyProtection="0"/>
    <xf numFmtId="174" fontId="24" fillId="9" borderId="0" applyNumberFormat="0" applyBorder="0" applyAlignment="0" applyProtection="0"/>
    <xf numFmtId="174" fontId="24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174" fontId="24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174" fontId="24" fillId="10" borderId="0" applyNumberFormat="0" applyBorder="0" applyAlignment="0" applyProtection="0"/>
    <xf numFmtId="174" fontId="24" fillId="10" borderId="0" applyNumberFormat="0" applyBorder="0" applyAlignment="0" applyProtection="0"/>
    <xf numFmtId="174" fontId="24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174" fontId="24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174" fontId="24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174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174" fontId="24" fillId="9" borderId="0" applyNumberFormat="0" applyBorder="0" applyAlignment="0" applyProtection="0"/>
    <xf numFmtId="174" fontId="24" fillId="9" borderId="0" applyNumberFormat="0" applyBorder="0" applyAlignment="0" applyProtection="0"/>
    <xf numFmtId="174" fontId="24" fillId="9" borderId="0" applyNumberFormat="0" applyBorder="0" applyAlignment="0" applyProtection="0"/>
    <xf numFmtId="0" fontId="103" fillId="9" borderId="0" applyNumberFormat="0" applyBorder="0" applyAlignment="0" applyProtection="0"/>
    <xf numFmtId="0" fontId="103" fillId="11" borderId="0" applyNumberFormat="0" applyBorder="0" applyAlignment="0" applyProtection="0"/>
    <xf numFmtId="174" fontId="24" fillId="11" borderId="0" applyNumberFormat="0" applyBorder="0" applyAlignment="0" applyProtection="0"/>
    <xf numFmtId="174" fontId="24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24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24" fillId="5" borderId="0" applyNumberFormat="0" applyBorder="0" applyAlignment="0" applyProtection="0"/>
    <xf numFmtId="174" fontId="24" fillId="5" borderId="0" applyNumberFormat="0" applyBorder="0" applyAlignment="0" applyProtection="0"/>
    <xf numFmtId="174" fontId="24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24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24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4" fontId="24" fillId="11" borderId="0" applyNumberFormat="0" applyBorder="0" applyAlignment="0" applyProtection="0"/>
    <xf numFmtId="174" fontId="24" fillId="11" borderId="0" applyNumberFormat="0" applyBorder="0" applyAlignment="0" applyProtection="0"/>
    <xf numFmtId="174" fontId="24" fillId="11" borderId="0" applyNumberFormat="0" applyBorder="0" applyAlignment="0" applyProtection="0"/>
    <xf numFmtId="0" fontId="103" fillId="11" borderId="0" applyNumberFormat="0" applyBorder="0" applyAlignment="0" applyProtection="0"/>
    <xf numFmtId="0" fontId="103" fillId="12" borderId="0" applyNumberFormat="0" applyBorder="0" applyAlignment="0" applyProtection="0"/>
    <xf numFmtId="174" fontId="24" fillId="12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3" borderId="0" applyNumberFormat="0" applyBorder="0" applyAlignment="0" applyProtection="0"/>
    <xf numFmtId="174" fontId="24" fillId="13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2" borderId="0" applyNumberFormat="0" applyBorder="0" applyAlignment="0" applyProtection="0"/>
    <xf numFmtId="174" fontId="24" fillId="12" borderId="0" applyNumberFormat="0" applyBorder="0" applyAlignment="0" applyProtection="0"/>
    <xf numFmtId="174" fontId="24" fillId="12" borderId="0" applyNumberFormat="0" applyBorder="0" applyAlignment="0" applyProtection="0"/>
    <xf numFmtId="0" fontId="103" fillId="12" borderId="0" applyNumberFormat="0" applyBorder="0" applyAlignment="0" applyProtection="0"/>
    <xf numFmtId="0" fontId="103" fillId="78" borderId="0" applyNumberFormat="0" applyBorder="0" applyAlignment="0" applyProtection="0"/>
    <xf numFmtId="174" fontId="24" fillId="14" borderId="0" applyNumberFormat="0" applyBorder="0" applyAlignment="0" applyProtection="0"/>
    <xf numFmtId="174" fontId="24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4" fontId="24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4" fontId="24" fillId="15" borderId="0" applyNumberFormat="0" applyBorder="0" applyAlignment="0" applyProtection="0"/>
    <xf numFmtId="174" fontId="24" fillId="15" borderId="0" applyNumberFormat="0" applyBorder="0" applyAlignment="0" applyProtection="0"/>
    <xf numFmtId="174" fontId="24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4" fontId="24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4" fontId="24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4" fontId="2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4" fontId="24" fillId="14" borderId="0" applyNumberFormat="0" applyBorder="0" applyAlignment="0" applyProtection="0"/>
    <xf numFmtId="174" fontId="24" fillId="14" borderId="0" applyNumberFormat="0" applyBorder="0" applyAlignment="0" applyProtection="0"/>
    <xf numFmtId="174" fontId="24" fillId="14" borderId="0" applyNumberFormat="0" applyBorder="0" applyAlignment="0" applyProtection="0"/>
    <xf numFmtId="0" fontId="103" fillId="78" borderId="0" applyNumberFormat="0" applyBorder="0" applyAlignment="0" applyProtection="0"/>
    <xf numFmtId="0" fontId="103" fillId="79" borderId="0" applyNumberFormat="0" applyBorder="0" applyAlignment="0" applyProtection="0"/>
    <xf numFmtId="0" fontId="104" fillId="79" borderId="0" applyNumberFormat="0" applyBorder="0" applyAlignment="0" applyProtection="0"/>
    <xf numFmtId="174" fontId="24" fillId="16" borderId="0" applyNumberFormat="0" applyBorder="0" applyAlignment="0" applyProtection="0"/>
    <xf numFmtId="174" fontId="24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74" fontId="24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74" fontId="24" fillId="17" borderId="0" applyNumberFormat="0" applyBorder="0" applyAlignment="0" applyProtection="0"/>
    <xf numFmtId="174" fontId="24" fillId="17" borderId="0" applyNumberFormat="0" applyBorder="0" applyAlignment="0" applyProtection="0"/>
    <xf numFmtId="174" fontId="24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74" fontId="24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74" fontId="24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74" fontId="2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74" fontId="24" fillId="16" borderId="0" applyNumberFormat="0" applyBorder="0" applyAlignment="0" applyProtection="0"/>
    <xf numFmtId="174" fontId="24" fillId="16" borderId="0" applyNumberFormat="0" applyBorder="0" applyAlignment="0" applyProtection="0"/>
    <xf numFmtId="174" fontId="24" fillId="16" borderId="0" applyNumberFormat="0" applyBorder="0" applyAlignment="0" applyProtection="0"/>
    <xf numFmtId="0" fontId="103" fillId="79" borderId="0" applyNumberFormat="0" applyBorder="0" applyAlignment="0" applyProtection="0"/>
    <xf numFmtId="174" fontId="1" fillId="18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1" fillId="20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174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74" fontId="1" fillId="22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174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4" fontId="1" fillId="12" borderId="0" applyNumberFormat="0" applyBorder="0" applyAlignment="0" applyProtection="0"/>
    <xf numFmtId="174" fontId="1" fillId="13" borderId="0" applyNumberFormat="0" applyBorder="0" applyAlignment="0" applyProtection="0"/>
    <xf numFmtId="174" fontId="1" fillId="13" borderId="0" applyNumberFormat="0" applyBorder="0" applyAlignment="0" applyProtection="0"/>
    <xf numFmtId="174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1" fillId="18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174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1" fillId="24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174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03" fillId="80" borderId="0" applyNumberFormat="0" applyBorder="0" applyAlignment="0" applyProtection="0"/>
    <xf numFmtId="174" fontId="24" fillId="18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9" borderId="0" applyNumberFormat="0" applyBorder="0" applyAlignment="0" applyProtection="0"/>
    <xf numFmtId="174" fontId="24" fillId="19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8" borderId="0" applyNumberFormat="0" applyBorder="0" applyAlignment="0" applyProtection="0"/>
    <xf numFmtId="174" fontId="24" fillId="18" borderId="0" applyNumberFormat="0" applyBorder="0" applyAlignment="0" applyProtection="0"/>
    <xf numFmtId="174" fontId="24" fillId="18" borderId="0" applyNumberFormat="0" applyBorder="0" applyAlignment="0" applyProtection="0"/>
    <xf numFmtId="0" fontId="103" fillId="80" borderId="0" applyNumberFormat="0" applyBorder="0" applyAlignment="0" applyProtection="0"/>
    <xf numFmtId="0" fontId="103" fillId="81" borderId="0" applyNumberFormat="0" applyBorder="0" applyAlignment="0" applyProtection="0"/>
    <xf numFmtId="174" fontId="24" fillId="20" borderId="0" applyNumberFormat="0" applyBorder="0" applyAlignment="0" applyProtection="0"/>
    <xf numFmtId="174" fontId="24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74" fontId="24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74" fontId="24" fillId="21" borderId="0" applyNumberFormat="0" applyBorder="0" applyAlignment="0" applyProtection="0"/>
    <xf numFmtId="174" fontId="24" fillId="21" borderId="0" applyNumberFormat="0" applyBorder="0" applyAlignment="0" applyProtection="0"/>
    <xf numFmtId="174" fontId="24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74" fontId="24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74" fontId="24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74" fontId="24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74" fontId="24" fillId="20" borderId="0" applyNumberFormat="0" applyBorder="0" applyAlignment="0" applyProtection="0"/>
    <xf numFmtId="174" fontId="24" fillId="20" borderId="0" applyNumberFormat="0" applyBorder="0" applyAlignment="0" applyProtection="0"/>
    <xf numFmtId="174" fontId="24" fillId="20" borderId="0" applyNumberFormat="0" applyBorder="0" applyAlignment="0" applyProtection="0"/>
    <xf numFmtId="0" fontId="103" fillId="81" borderId="0" applyNumberFormat="0" applyBorder="0" applyAlignment="0" applyProtection="0"/>
    <xf numFmtId="0" fontId="103" fillId="22" borderId="0" applyNumberFormat="0" applyBorder="0" applyAlignment="0" applyProtection="0"/>
    <xf numFmtId="174" fontId="24" fillId="22" borderId="0" applyNumberFormat="0" applyBorder="0" applyAlignment="0" applyProtection="0"/>
    <xf numFmtId="174" fontId="24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4" fontId="24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4" fontId="24" fillId="23" borderId="0" applyNumberFormat="0" applyBorder="0" applyAlignment="0" applyProtection="0"/>
    <xf numFmtId="174" fontId="24" fillId="23" borderId="0" applyNumberFormat="0" applyBorder="0" applyAlignment="0" applyProtection="0"/>
    <xf numFmtId="174" fontId="24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4" fontId="24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4" fontId="24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4" fontId="24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4" fontId="24" fillId="22" borderId="0" applyNumberFormat="0" applyBorder="0" applyAlignment="0" applyProtection="0"/>
    <xf numFmtId="174" fontId="24" fillId="22" borderId="0" applyNumberFormat="0" applyBorder="0" applyAlignment="0" applyProtection="0"/>
    <xf numFmtId="174" fontId="24" fillId="22" borderId="0" applyNumberFormat="0" applyBorder="0" applyAlignment="0" applyProtection="0"/>
    <xf numFmtId="0" fontId="103" fillId="22" borderId="0" applyNumberFormat="0" applyBorder="0" applyAlignment="0" applyProtection="0"/>
    <xf numFmtId="0" fontId="103" fillId="82" borderId="0" applyNumberFormat="0" applyBorder="0" applyAlignment="0" applyProtection="0"/>
    <xf numFmtId="174" fontId="24" fillId="12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3" borderId="0" applyNumberFormat="0" applyBorder="0" applyAlignment="0" applyProtection="0"/>
    <xf numFmtId="174" fontId="24" fillId="13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4" fontId="24" fillId="12" borderId="0" applyNumberFormat="0" applyBorder="0" applyAlignment="0" applyProtection="0"/>
    <xf numFmtId="174" fontId="24" fillId="12" borderId="0" applyNumberFormat="0" applyBorder="0" applyAlignment="0" applyProtection="0"/>
    <xf numFmtId="174" fontId="24" fillId="12" borderId="0" applyNumberFormat="0" applyBorder="0" applyAlignment="0" applyProtection="0"/>
    <xf numFmtId="0" fontId="103" fillId="82" borderId="0" applyNumberFormat="0" applyBorder="0" applyAlignment="0" applyProtection="0"/>
    <xf numFmtId="0" fontId="103" fillId="83" borderId="0" applyNumberFormat="0" applyBorder="0" applyAlignment="0" applyProtection="0"/>
    <xf numFmtId="174" fontId="24" fillId="18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9" borderId="0" applyNumberFormat="0" applyBorder="0" applyAlignment="0" applyProtection="0"/>
    <xf numFmtId="174" fontId="24" fillId="19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4" fontId="24" fillId="18" borderId="0" applyNumberFormat="0" applyBorder="0" applyAlignment="0" applyProtection="0"/>
    <xf numFmtId="174" fontId="24" fillId="18" borderId="0" applyNumberFormat="0" applyBorder="0" applyAlignment="0" applyProtection="0"/>
    <xf numFmtId="174" fontId="24" fillId="18" borderId="0" applyNumberFormat="0" applyBorder="0" applyAlignment="0" applyProtection="0"/>
    <xf numFmtId="0" fontId="103" fillId="83" borderId="0" applyNumberFormat="0" applyBorder="0" applyAlignment="0" applyProtection="0"/>
    <xf numFmtId="0" fontId="103" fillId="84" borderId="0" applyNumberFormat="0" applyBorder="0" applyAlignment="0" applyProtection="0"/>
    <xf numFmtId="174" fontId="24" fillId="24" borderId="0" applyNumberFormat="0" applyBorder="0" applyAlignment="0" applyProtection="0"/>
    <xf numFmtId="174" fontId="24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74" fontId="24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74" fontId="24" fillId="25" borderId="0" applyNumberFormat="0" applyBorder="0" applyAlignment="0" applyProtection="0"/>
    <xf numFmtId="174" fontId="24" fillId="25" borderId="0" applyNumberFormat="0" applyBorder="0" applyAlignment="0" applyProtection="0"/>
    <xf numFmtId="174" fontId="24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74" fontId="24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74" fontId="24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74" fontId="24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174" fontId="24" fillId="24" borderId="0" applyNumberFormat="0" applyBorder="0" applyAlignment="0" applyProtection="0"/>
    <xf numFmtId="174" fontId="24" fillId="24" borderId="0" applyNumberFormat="0" applyBorder="0" applyAlignment="0" applyProtection="0"/>
    <xf numFmtId="174" fontId="24" fillId="24" borderId="0" applyNumberFormat="0" applyBorder="0" applyAlignment="0" applyProtection="0"/>
    <xf numFmtId="0" fontId="103" fillId="84" borderId="0" applyNumberFormat="0" applyBorder="0" applyAlignment="0" applyProtection="0"/>
    <xf numFmtId="174" fontId="7" fillId="26" borderId="0" applyNumberFormat="0" applyBorder="0" applyAlignment="0" applyProtection="0"/>
    <xf numFmtId="174" fontId="7" fillId="27" borderId="0" applyNumberFormat="0" applyBorder="0" applyAlignment="0" applyProtection="0"/>
    <xf numFmtId="174" fontId="7" fillId="27" borderId="0" applyNumberFormat="0" applyBorder="0" applyAlignment="0" applyProtection="0"/>
    <xf numFmtId="174" fontId="7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174" fontId="7" fillId="20" borderId="0" applyNumberFormat="0" applyBorder="0" applyAlignment="0" applyProtection="0"/>
    <xf numFmtId="174" fontId="7" fillId="21" borderId="0" applyNumberFormat="0" applyBorder="0" applyAlignment="0" applyProtection="0"/>
    <xf numFmtId="174" fontId="7" fillId="21" borderId="0" applyNumberFormat="0" applyBorder="0" applyAlignment="0" applyProtection="0"/>
    <xf numFmtId="174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74" fontId="7" fillId="22" borderId="0" applyNumberFormat="0" applyBorder="0" applyAlignment="0" applyProtection="0"/>
    <xf numFmtId="174" fontId="7" fillId="23" borderId="0" applyNumberFormat="0" applyBorder="0" applyAlignment="0" applyProtection="0"/>
    <xf numFmtId="174" fontId="7" fillId="23" borderId="0" applyNumberFormat="0" applyBorder="0" applyAlignment="0" applyProtection="0"/>
    <xf numFmtId="174" fontId="7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74" fontId="7" fillId="28" borderId="0" applyNumberFormat="0" applyBorder="0" applyAlignment="0" applyProtection="0"/>
    <xf numFmtId="174" fontId="7" fillId="29" borderId="0" applyNumberFormat="0" applyBorder="0" applyAlignment="0" applyProtection="0"/>
    <xf numFmtId="174" fontId="7" fillId="29" borderId="0" applyNumberFormat="0" applyBorder="0" applyAlignment="0" applyProtection="0"/>
    <xf numFmtId="174" fontId="7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7" fillId="30" borderId="0" applyNumberFormat="0" applyBorder="0" applyAlignment="0" applyProtection="0"/>
    <xf numFmtId="174" fontId="7" fillId="31" borderId="0" applyNumberFormat="0" applyBorder="0" applyAlignment="0" applyProtection="0"/>
    <xf numFmtId="174" fontId="7" fillId="31" borderId="0" applyNumberFormat="0" applyBorder="0" applyAlignment="0" applyProtection="0"/>
    <xf numFmtId="174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7" fillId="32" borderId="0" applyNumberFormat="0" applyBorder="0" applyAlignment="0" applyProtection="0"/>
    <xf numFmtId="174" fontId="7" fillId="33" borderId="0" applyNumberFormat="0" applyBorder="0" applyAlignment="0" applyProtection="0"/>
    <xf numFmtId="174" fontId="7" fillId="33" borderId="0" applyNumberFormat="0" applyBorder="0" applyAlignment="0" applyProtection="0"/>
    <xf numFmtId="174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105" fillId="85" borderId="0" applyNumberFormat="0" applyBorder="0" applyAlignment="0" applyProtection="0"/>
    <xf numFmtId="174" fontId="25" fillId="26" borderId="0" applyNumberFormat="0" applyBorder="0" applyAlignment="0" applyProtection="0"/>
    <xf numFmtId="174" fontId="25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174" fontId="25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174" fontId="25" fillId="27" borderId="0" applyNumberFormat="0" applyBorder="0" applyAlignment="0" applyProtection="0"/>
    <xf numFmtId="174" fontId="25" fillId="27" borderId="0" applyNumberFormat="0" applyBorder="0" applyAlignment="0" applyProtection="0"/>
    <xf numFmtId="174" fontId="25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174" fontId="25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174" fontId="25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174" fontId="25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174" fontId="25" fillId="26" borderId="0" applyNumberFormat="0" applyBorder="0" applyAlignment="0" applyProtection="0"/>
    <xf numFmtId="174" fontId="25" fillId="26" borderId="0" applyNumberFormat="0" applyBorder="0" applyAlignment="0" applyProtection="0"/>
    <xf numFmtId="174" fontId="25" fillId="26" borderId="0" applyNumberFormat="0" applyBorder="0" applyAlignment="0" applyProtection="0"/>
    <xf numFmtId="0" fontId="105" fillId="85" borderId="0" applyNumberFormat="0" applyBorder="0" applyAlignment="0" applyProtection="0"/>
    <xf numFmtId="0" fontId="105" fillId="86" borderId="0" applyNumberFormat="0" applyBorder="0" applyAlignment="0" applyProtection="0"/>
    <xf numFmtId="174" fontId="25" fillId="20" borderId="0" applyNumberFormat="0" applyBorder="0" applyAlignment="0" applyProtection="0"/>
    <xf numFmtId="174" fontId="25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74" fontId="25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74" fontId="25" fillId="21" borderId="0" applyNumberFormat="0" applyBorder="0" applyAlignment="0" applyProtection="0"/>
    <xf numFmtId="174" fontId="25" fillId="21" borderId="0" applyNumberFormat="0" applyBorder="0" applyAlignment="0" applyProtection="0"/>
    <xf numFmtId="174" fontId="25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74" fontId="25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74" fontId="25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74" fontId="25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74" fontId="25" fillId="20" borderId="0" applyNumberFormat="0" applyBorder="0" applyAlignment="0" applyProtection="0"/>
    <xf numFmtId="174" fontId="25" fillId="20" borderId="0" applyNumberFormat="0" applyBorder="0" applyAlignment="0" applyProtection="0"/>
    <xf numFmtId="174" fontId="25" fillId="20" borderId="0" applyNumberFormat="0" applyBorder="0" applyAlignment="0" applyProtection="0"/>
    <xf numFmtId="0" fontId="105" fillId="86" borderId="0" applyNumberFormat="0" applyBorder="0" applyAlignment="0" applyProtection="0"/>
    <xf numFmtId="0" fontId="105" fillId="22" borderId="0" applyNumberFormat="0" applyBorder="0" applyAlignment="0" applyProtection="0"/>
    <xf numFmtId="174" fontId="25" fillId="22" borderId="0" applyNumberFormat="0" applyBorder="0" applyAlignment="0" applyProtection="0"/>
    <xf numFmtId="174" fontId="25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74" fontId="25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74" fontId="25" fillId="23" borderId="0" applyNumberFormat="0" applyBorder="0" applyAlignment="0" applyProtection="0"/>
    <xf numFmtId="174" fontId="25" fillId="23" borderId="0" applyNumberFormat="0" applyBorder="0" applyAlignment="0" applyProtection="0"/>
    <xf numFmtId="174" fontId="25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74" fontId="25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74" fontId="25" fillId="23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74" fontId="25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74" fontId="25" fillId="22" borderId="0" applyNumberFormat="0" applyBorder="0" applyAlignment="0" applyProtection="0"/>
    <xf numFmtId="174" fontId="25" fillId="22" borderId="0" applyNumberFormat="0" applyBorder="0" applyAlignment="0" applyProtection="0"/>
    <xf numFmtId="174" fontId="2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8" borderId="0" applyNumberFormat="0" applyBorder="0" applyAlignment="0" applyProtection="0"/>
    <xf numFmtId="174" fontId="25" fillId="28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9" borderId="0" applyNumberFormat="0" applyBorder="0" applyAlignment="0" applyProtection="0"/>
    <xf numFmtId="174" fontId="25" fillId="29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8" borderId="0" applyNumberFormat="0" applyBorder="0" applyAlignment="0" applyProtection="0"/>
    <xf numFmtId="174" fontId="25" fillId="28" borderId="0" applyNumberFormat="0" applyBorder="0" applyAlignment="0" applyProtection="0"/>
    <xf numFmtId="174" fontId="25" fillId="28" borderId="0" applyNumberFormat="0" applyBorder="0" applyAlignment="0" applyProtection="0"/>
    <xf numFmtId="0" fontId="105" fillId="28" borderId="0" applyNumberFormat="0" applyBorder="0" applyAlignment="0" applyProtection="0"/>
    <xf numFmtId="0" fontId="105" fillId="87" borderId="0" applyNumberFormat="0" applyBorder="0" applyAlignment="0" applyProtection="0"/>
    <xf numFmtId="174" fontId="25" fillId="30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1" borderId="0" applyNumberFormat="0" applyBorder="0" applyAlignment="0" applyProtection="0"/>
    <xf numFmtId="174" fontId="25" fillId="31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0" borderId="0" applyNumberFormat="0" applyBorder="0" applyAlignment="0" applyProtection="0"/>
    <xf numFmtId="174" fontId="25" fillId="30" borderId="0" applyNumberFormat="0" applyBorder="0" applyAlignment="0" applyProtection="0"/>
    <xf numFmtId="174" fontId="25" fillId="30" borderId="0" applyNumberFormat="0" applyBorder="0" applyAlignment="0" applyProtection="0"/>
    <xf numFmtId="0" fontId="105" fillId="87" borderId="0" applyNumberFormat="0" applyBorder="0" applyAlignment="0" applyProtection="0"/>
    <xf numFmtId="0" fontId="105" fillId="32" borderId="0" applyNumberFormat="0" applyBorder="0" applyAlignment="0" applyProtection="0"/>
    <xf numFmtId="174" fontId="25" fillId="32" borderId="0" applyNumberFormat="0" applyBorder="0" applyAlignment="0" applyProtection="0"/>
    <xf numFmtId="174" fontId="25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174" fontId="25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174" fontId="25" fillId="33" borderId="0" applyNumberFormat="0" applyBorder="0" applyAlignment="0" applyProtection="0"/>
    <xf numFmtId="174" fontId="25" fillId="33" borderId="0" applyNumberFormat="0" applyBorder="0" applyAlignment="0" applyProtection="0"/>
    <xf numFmtId="174" fontId="25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174" fontId="25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174" fontId="25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174" fontId="25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174" fontId="25" fillId="32" borderId="0" applyNumberFormat="0" applyBorder="0" applyAlignment="0" applyProtection="0"/>
    <xf numFmtId="174" fontId="25" fillId="32" borderId="0" applyNumberFormat="0" applyBorder="0" applyAlignment="0" applyProtection="0"/>
    <xf numFmtId="174" fontId="25" fillId="32" borderId="0" applyNumberFormat="0" applyBorder="0" applyAlignment="0" applyProtection="0"/>
    <xf numFmtId="0" fontId="105" fillId="32" borderId="0" applyNumberFormat="0" applyBorder="0" applyAlignment="0" applyProtection="0"/>
    <xf numFmtId="174" fontId="38" fillId="0" borderId="0" applyFont="0" applyFill="0" applyBorder="0" applyAlignment="0" applyProtection="0"/>
    <xf numFmtId="191" fontId="68" fillId="0" borderId="0" applyFont="0" applyFill="0" applyBorder="0" applyAlignment="0" applyProtection="0"/>
    <xf numFmtId="174" fontId="7" fillId="34" borderId="0" applyNumberFormat="0" applyBorder="0" applyAlignment="0" applyProtection="0"/>
    <xf numFmtId="174" fontId="7" fillId="35" borderId="0" applyNumberFormat="0" applyBorder="0" applyAlignment="0" applyProtection="0"/>
    <xf numFmtId="174" fontId="7" fillId="35" borderId="0" applyNumberFormat="0" applyBorder="0" applyAlignment="0" applyProtection="0"/>
    <xf numFmtId="174" fontId="7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174" fontId="7" fillId="36" borderId="0" applyNumberFormat="0" applyBorder="0" applyAlignment="0" applyProtection="0"/>
    <xf numFmtId="174" fontId="7" fillId="37" borderId="0" applyNumberFormat="0" applyBorder="0" applyAlignment="0" applyProtection="0"/>
    <xf numFmtId="174" fontId="7" fillId="37" borderId="0" applyNumberFormat="0" applyBorder="0" applyAlignment="0" applyProtection="0"/>
    <xf numFmtId="174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174" fontId="7" fillId="38" borderId="0" applyNumberFormat="0" applyBorder="0" applyAlignment="0" applyProtection="0"/>
    <xf numFmtId="174" fontId="7" fillId="39" borderId="0" applyNumberFormat="0" applyBorder="0" applyAlignment="0" applyProtection="0"/>
    <xf numFmtId="174" fontId="7" fillId="39" borderId="0" applyNumberFormat="0" applyBorder="0" applyAlignment="0" applyProtection="0"/>
    <xf numFmtId="174" fontId="7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174" fontId="7" fillId="28" borderId="0" applyNumberFormat="0" applyBorder="0" applyAlignment="0" applyProtection="0"/>
    <xf numFmtId="174" fontId="7" fillId="29" borderId="0" applyNumberFormat="0" applyBorder="0" applyAlignment="0" applyProtection="0"/>
    <xf numFmtId="174" fontId="7" fillId="29" borderId="0" applyNumberFormat="0" applyBorder="0" applyAlignment="0" applyProtection="0"/>
    <xf numFmtId="174" fontId="7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7" fillId="30" borderId="0" applyNumberFormat="0" applyBorder="0" applyAlignment="0" applyProtection="0"/>
    <xf numFmtId="174" fontId="7" fillId="31" borderId="0" applyNumberFormat="0" applyBorder="0" applyAlignment="0" applyProtection="0"/>
    <xf numFmtId="174" fontId="7" fillId="31" borderId="0" applyNumberFormat="0" applyBorder="0" applyAlignment="0" applyProtection="0"/>
    <xf numFmtId="174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7" fillId="40" borderId="0" applyNumberFormat="0" applyBorder="0" applyAlignment="0" applyProtection="0"/>
    <xf numFmtId="174" fontId="7" fillId="41" borderId="0" applyNumberFormat="0" applyBorder="0" applyAlignment="0" applyProtection="0"/>
    <xf numFmtId="174" fontId="7" fillId="41" borderId="0" applyNumberFormat="0" applyBorder="0" applyAlignment="0" applyProtection="0"/>
    <xf numFmtId="174" fontId="7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174" fontId="69" fillId="0" borderId="0"/>
    <xf numFmtId="174" fontId="38" fillId="0" borderId="0" applyNumberFormat="0" applyFill="0" applyBorder="0" applyAlignment="0" applyProtection="0"/>
    <xf numFmtId="174" fontId="70" fillId="0" borderId="0" applyNumberFormat="0" applyFill="0" applyBorder="0" applyAlignment="0" applyProtection="0"/>
    <xf numFmtId="174" fontId="18" fillId="9" borderId="0" applyNumberFormat="0" applyBorder="0" applyAlignment="0" applyProtection="0"/>
    <xf numFmtId="174" fontId="18" fillId="10" borderId="0" applyNumberFormat="0" applyBorder="0" applyAlignment="0" applyProtection="0"/>
    <xf numFmtId="174" fontId="18" fillId="10" borderId="0" applyNumberFormat="0" applyBorder="0" applyAlignment="0" applyProtection="0"/>
    <xf numFmtId="174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174" fontId="71" fillId="1" borderId="0">
      <alignment horizontal="centerContinuous" vertical="center"/>
    </xf>
    <xf numFmtId="174" fontId="71" fillId="42" borderId="0">
      <alignment horizontal="center" vertical="center"/>
    </xf>
    <xf numFmtId="174" fontId="71" fillId="42" borderId="0">
      <alignment horizontal="center" vertical="center"/>
    </xf>
    <xf numFmtId="174" fontId="71" fillId="42" borderId="0">
      <alignment horizontal="center" vertical="center"/>
    </xf>
    <xf numFmtId="192" fontId="72" fillId="43" borderId="3">
      <alignment horizontal="left" vertical="center"/>
    </xf>
    <xf numFmtId="192" fontId="72" fillId="44" borderId="4">
      <alignment horizontal="left" vertical="center"/>
    </xf>
    <xf numFmtId="192" fontId="72" fillId="44" borderId="4">
      <alignment horizontal="left" vertical="center"/>
    </xf>
    <xf numFmtId="192" fontId="72" fillId="44" borderId="4">
      <alignment horizontal="left" vertical="center"/>
    </xf>
    <xf numFmtId="174" fontId="73" fillId="0" borderId="0"/>
    <xf numFmtId="193" fontId="74" fillId="0" borderId="0" applyFont="0" applyFill="0" applyBorder="0" applyAlignment="0" applyProtection="0"/>
    <xf numFmtId="193" fontId="27" fillId="0" borderId="0" applyFill="0" applyBorder="0" applyAlignment="0" applyProtection="0"/>
    <xf numFmtId="193" fontId="27" fillId="0" borderId="0" applyFill="0" applyBorder="0" applyAlignment="0" applyProtection="0"/>
    <xf numFmtId="193" fontId="27" fillId="0" borderId="0" applyFill="0" applyBorder="0" applyAlignment="0" applyProtection="0"/>
    <xf numFmtId="194" fontId="75" fillId="0" borderId="0" applyFill="0" applyBorder="0" applyAlignment="0"/>
    <xf numFmtId="206" fontId="75" fillId="0" borderId="0" applyFill="0" applyBorder="0" applyAlignment="0"/>
    <xf numFmtId="206" fontId="75" fillId="0" borderId="0" applyFill="0" applyBorder="0" applyAlignment="0"/>
    <xf numFmtId="206" fontId="75" fillId="0" borderId="0" applyFill="0" applyBorder="0" applyAlignment="0"/>
    <xf numFmtId="195" fontId="75" fillId="0" borderId="0" applyFill="0" applyBorder="0" applyAlignment="0"/>
    <xf numFmtId="207" fontId="75" fillId="0" borderId="0" applyFill="0" applyBorder="0" applyAlignment="0"/>
    <xf numFmtId="207" fontId="75" fillId="0" borderId="0" applyFill="0" applyBorder="0" applyAlignment="0"/>
    <xf numFmtId="207" fontId="75" fillId="0" borderId="0" applyFill="0" applyBorder="0" applyAlignment="0"/>
    <xf numFmtId="196" fontId="75" fillId="0" borderId="0" applyFill="0" applyBorder="0" applyAlignment="0"/>
    <xf numFmtId="208" fontId="75" fillId="0" borderId="0" applyFill="0" applyBorder="0" applyAlignment="0"/>
    <xf numFmtId="208" fontId="75" fillId="0" borderId="0" applyFill="0" applyBorder="0" applyAlignment="0"/>
    <xf numFmtId="208" fontId="75" fillId="0" borderId="0" applyFill="0" applyBorder="0" applyAlignment="0"/>
    <xf numFmtId="169" fontId="75" fillId="0" borderId="0" applyFill="0" applyBorder="0" applyAlignment="0"/>
    <xf numFmtId="209" fontId="75" fillId="0" borderId="0" applyFill="0" applyBorder="0" applyAlignment="0"/>
    <xf numFmtId="209" fontId="75" fillId="0" borderId="0" applyFill="0" applyBorder="0" applyAlignment="0"/>
    <xf numFmtId="209" fontId="75" fillId="0" borderId="0" applyFill="0" applyBorder="0" applyAlignment="0"/>
    <xf numFmtId="197" fontId="75" fillId="0" borderId="0" applyFill="0" applyBorder="0" applyAlignment="0"/>
    <xf numFmtId="210" fontId="75" fillId="0" borderId="0" applyFill="0" applyBorder="0" applyAlignment="0"/>
    <xf numFmtId="210" fontId="75" fillId="0" borderId="0" applyFill="0" applyBorder="0" applyAlignment="0"/>
    <xf numFmtId="210" fontId="75" fillId="0" borderId="0" applyFill="0" applyBorder="0" applyAlignment="0"/>
    <xf numFmtId="194" fontId="75" fillId="0" borderId="0" applyFill="0" applyBorder="0" applyAlignment="0"/>
    <xf numFmtId="206" fontId="75" fillId="0" borderId="0" applyFill="0" applyBorder="0" applyAlignment="0"/>
    <xf numFmtId="206" fontId="75" fillId="0" borderId="0" applyFill="0" applyBorder="0" applyAlignment="0"/>
    <xf numFmtId="206" fontId="75" fillId="0" borderId="0" applyFill="0" applyBorder="0" applyAlignment="0"/>
    <xf numFmtId="198" fontId="75" fillId="0" borderId="0" applyFill="0" applyBorder="0" applyAlignment="0"/>
    <xf numFmtId="211" fontId="75" fillId="0" borderId="0" applyFill="0" applyBorder="0" applyAlignment="0"/>
    <xf numFmtId="211" fontId="75" fillId="0" borderId="0" applyFill="0" applyBorder="0" applyAlignment="0"/>
    <xf numFmtId="211" fontId="75" fillId="0" borderId="0" applyFill="0" applyBorder="0" applyAlignment="0"/>
    <xf numFmtId="195" fontId="75" fillId="0" borderId="0" applyFill="0" applyBorder="0" applyAlignment="0"/>
    <xf numFmtId="207" fontId="75" fillId="0" borderId="0" applyFill="0" applyBorder="0" applyAlignment="0"/>
    <xf numFmtId="207" fontId="75" fillId="0" borderId="0" applyFill="0" applyBorder="0" applyAlignment="0"/>
    <xf numFmtId="207" fontId="75" fillId="0" borderId="0" applyFill="0" applyBorder="0" applyAlignment="0"/>
    <xf numFmtId="174" fontId="10" fillId="45" borderId="5" applyNumberFormat="0" applyAlignment="0" applyProtection="0"/>
    <xf numFmtId="174" fontId="10" fillId="44" borderId="5" applyNumberFormat="0" applyAlignment="0" applyProtection="0"/>
    <xf numFmtId="174" fontId="10" fillId="44" borderId="5" applyNumberFormat="0" applyAlignment="0" applyProtection="0"/>
    <xf numFmtId="174" fontId="10" fillId="44" borderId="5" applyNumberFormat="0" applyAlignment="0" applyProtection="0"/>
    <xf numFmtId="0" fontId="10" fillId="45" borderId="5" applyNumberFormat="0" applyAlignment="0" applyProtection="0"/>
    <xf numFmtId="0" fontId="10" fillId="45" borderId="5" applyNumberFormat="0" applyAlignment="0" applyProtection="0"/>
    <xf numFmtId="174" fontId="15" fillId="46" borderId="6" applyNumberFormat="0" applyAlignment="0" applyProtection="0"/>
    <xf numFmtId="174" fontId="15" fillId="47" borderId="6" applyNumberFormat="0" applyAlignment="0" applyProtection="0"/>
    <xf numFmtId="174" fontId="15" fillId="47" borderId="6" applyNumberFormat="0" applyAlignment="0" applyProtection="0"/>
    <xf numFmtId="174" fontId="15" fillId="47" borderId="6" applyNumberFormat="0" applyAlignment="0" applyProtection="0"/>
    <xf numFmtId="0" fontId="15" fillId="46" borderId="6" applyNumberFormat="0" applyAlignment="0" applyProtection="0"/>
    <xf numFmtId="0" fontId="15" fillId="46" borderId="6" applyNumberFormat="0" applyAlignment="0" applyProtection="0"/>
    <xf numFmtId="174" fontId="6" fillId="0" borderId="7">
      <alignment horizontal="center"/>
    </xf>
    <xf numFmtId="174" fontId="6" fillId="0" borderId="0"/>
    <xf numFmtId="174" fontId="27" fillId="0" borderId="0"/>
    <xf numFmtId="174" fontId="27" fillId="0" borderId="0"/>
    <xf numFmtId="174" fontId="27" fillId="0" borderId="0"/>
    <xf numFmtId="174" fontId="6" fillId="0" borderId="0"/>
    <xf numFmtId="174" fontId="27" fillId="0" borderId="0"/>
    <xf numFmtId="174" fontId="27" fillId="0" borderId="0"/>
    <xf numFmtId="174" fontId="27" fillId="0" borderId="0"/>
    <xf numFmtId="174" fontId="6" fillId="0" borderId="0"/>
    <xf numFmtId="174" fontId="27" fillId="0" borderId="0"/>
    <xf numFmtId="174" fontId="27" fillId="0" borderId="0"/>
    <xf numFmtId="174" fontId="27" fillId="0" borderId="0"/>
    <xf numFmtId="174" fontId="6" fillId="0" borderId="0"/>
    <xf numFmtId="174" fontId="27" fillId="0" borderId="0"/>
    <xf numFmtId="174" fontId="27" fillId="0" borderId="0"/>
    <xf numFmtId="174" fontId="27" fillId="0" borderId="0"/>
    <xf numFmtId="174" fontId="6" fillId="0" borderId="0"/>
    <xf numFmtId="174" fontId="27" fillId="0" borderId="0"/>
    <xf numFmtId="174" fontId="27" fillId="0" borderId="0"/>
    <xf numFmtId="174" fontId="27" fillId="0" borderId="0"/>
    <xf numFmtId="174" fontId="6" fillId="0" borderId="0"/>
    <xf numFmtId="174" fontId="27" fillId="0" borderId="0"/>
    <xf numFmtId="174" fontId="27" fillId="0" borderId="0"/>
    <xf numFmtId="174" fontId="27" fillId="0" borderId="0"/>
    <xf numFmtId="174" fontId="6" fillId="0" borderId="0"/>
    <xf numFmtId="174" fontId="27" fillId="0" borderId="0"/>
    <xf numFmtId="174" fontId="27" fillId="0" borderId="0"/>
    <xf numFmtId="174" fontId="27" fillId="0" borderId="0"/>
    <xf numFmtId="174" fontId="6" fillId="0" borderId="0"/>
    <xf numFmtId="174" fontId="27" fillId="0" borderId="0"/>
    <xf numFmtId="174" fontId="27" fillId="0" borderId="0"/>
    <xf numFmtId="174" fontId="27" fillId="0" borderId="0"/>
    <xf numFmtId="191" fontId="38" fillId="0" borderId="0" applyFont="0" applyFill="0" applyBorder="0" applyAlignment="0" applyProtection="0"/>
    <xf numFmtId="205" fontId="27" fillId="0" borderId="0" applyFill="0" applyBorder="0" applyAlignment="0" applyProtection="0"/>
    <xf numFmtId="205" fontId="27" fillId="0" borderId="0" applyFill="0" applyBorder="0" applyAlignment="0" applyProtection="0"/>
    <xf numFmtId="205" fontId="27" fillId="0" borderId="0" applyFill="0" applyBorder="0" applyAlignment="0" applyProtection="0"/>
    <xf numFmtId="199" fontId="5" fillId="0" borderId="0" applyFont="0" applyFill="0" applyBorder="0" applyAlignment="0" applyProtection="0"/>
    <xf numFmtId="3" fontId="86" fillId="0" borderId="0" applyFont="0" applyFill="0" applyBorder="0" applyAlignment="0" applyProtection="0"/>
    <xf numFmtId="174" fontId="68" fillId="0" borderId="0"/>
    <xf numFmtId="174" fontId="26" fillId="0" borderId="0">
      <alignment horizontal="left" vertical="center" indent="1"/>
    </xf>
    <xf numFmtId="194" fontId="38" fillId="0" borderId="0" applyFont="0" applyFill="0" applyBorder="0" applyAlignment="0" applyProtection="0"/>
    <xf numFmtId="206" fontId="27" fillId="0" borderId="0" applyFill="0" applyBorder="0" applyAlignment="0" applyProtection="0"/>
    <xf numFmtId="206" fontId="27" fillId="0" borderId="0" applyFill="0" applyBorder="0" applyAlignment="0" applyProtection="0"/>
    <xf numFmtId="206" fontId="27" fillId="0" borderId="0" applyFill="0" applyBorder="0" applyAlignment="0" applyProtection="0"/>
    <xf numFmtId="170" fontId="5" fillId="0" borderId="0" applyFont="0" applyFill="0" applyBorder="0" applyAlignment="0" applyProtection="0"/>
    <xf numFmtId="174" fontId="6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4" fontId="75" fillId="0" borderId="0" applyFill="0" applyBorder="0" applyAlignment="0"/>
    <xf numFmtId="49" fontId="27" fillId="0" borderId="8"/>
    <xf numFmtId="49" fontId="27" fillId="0" borderId="9"/>
    <xf numFmtId="49" fontId="27" fillId="0" borderId="9"/>
    <xf numFmtId="49" fontId="27" fillId="0" borderId="9"/>
    <xf numFmtId="183" fontId="27" fillId="0" borderId="8"/>
    <xf numFmtId="183" fontId="27" fillId="0" borderId="9"/>
    <xf numFmtId="183" fontId="27" fillId="0" borderId="9"/>
    <xf numFmtId="183" fontId="27" fillId="0" borderId="9"/>
    <xf numFmtId="174" fontId="28" fillId="48" borderId="0"/>
    <xf numFmtId="174" fontId="28" fillId="44" borderId="0"/>
    <xf numFmtId="174" fontId="28" fillId="44" borderId="0"/>
    <xf numFmtId="174" fontId="28" fillId="44" borderId="0"/>
    <xf numFmtId="200" fontId="38" fillId="0" borderId="0" applyFont="0" applyFill="0" applyBorder="0" applyAlignment="0" applyProtection="0"/>
    <xf numFmtId="199" fontId="38" fillId="0" borderId="0" applyFont="0" applyFill="0" applyBorder="0" applyAlignment="0" applyProtection="0"/>
    <xf numFmtId="174" fontId="6" fillId="0" borderId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174" fontId="29" fillId="0" borderId="0" applyNumberFormat="0" applyFill="0" applyBorder="0" applyAlignment="0" applyProtection="0"/>
    <xf numFmtId="174" fontId="78" fillId="0" borderId="0" applyNumberFormat="0" applyFill="0" applyBorder="0" applyAlignment="0" applyProtection="0"/>
    <xf numFmtId="174" fontId="78" fillId="0" borderId="0" applyNumberFormat="0" applyFill="0" applyBorder="0" applyAlignment="0" applyProtection="0"/>
    <xf numFmtId="174" fontId="78" fillId="0" borderId="0" applyNumberFormat="0" applyFill="0" applyBorder="0" applyAlignment="0" applyProtection="0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6" fillId="0" borderId="0" applyFont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37" fontId="5" fillId="0" borderId="0"/>
    <xf numFmtId="37" fontId="5" fillId="0" borderId="0"/>
    <xf numFmtId="37" fontId="5" fillId="0" borderId="0"/>
    <xf numFmtId="37" fontId="5" fillId="0" borderId="0"/>
    <xf numFmtId="174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4" fontId="6" fillId="0" borderId="0">
      <alignment vertical="center"/>
    </xf>
    <xf numFmtId="174" fontId="27" fillId="0" borderId="0">
      <alignment vertical="center"/>
    </xf>
    <xf numFmtId="174" fontId="27" fillId="0" borderId="0">
      <alignment vertical="center"/>
    </xf>
    <xf numFmtId="174" fontId="27" fillId="0" borderId="0">
      <alignment vertical="center"/>
    </xf>
    <xf numFmtId="174" fontId="30" fillId="0" borderId="0"/>
    <xf numFmtId="174" fontId="6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3" fontId="6" fillId="0" borderId="0">
      <alignment horizontal="right"/>
    </xf>
    <xf numFmtId="3" fontId="27" fillId="0" borderId="0">
      <alignment horizontal="right"/>
    </xf>
    <xf numFmtId="3" fontId="27" fillId="0" borderId="0">
      <alignment horizontal="right"/>
    </xf>
    <xf numFmtId="3" fontId="27" fillId="0" borderId="0">
      <alignment horizontal="right"/>
    </xf>
    <xf numFmtId="174" fontId="22" fillId="11" borderId="0" applyNumberFormat="0" applyBorder="0" applyAlignment="0" applyProtection="0"/>
    <xf numFmtId="174" fontId="22" fillId="5" borderId="0" applyNumberFormat="0" applyBorder="0" applyAlignment="0" applyProtection="0"/>
    <xf numFmtId="174" fontId="22" fillId="5" borderId="0" applyNumberFormat="0" applyBorder="0" applyAlignment="0" applyProtection="0"/>
    <xf numFmtId="174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38" fontId="73" fillId="48" borderId="0" applyNumberFormat="0" applyBorder="0" applyAlignment="0" applyProtection="0"/>
    <xf numFmtId="174" fontId="73" fillId="44" borderId="0" applyNumberFormat="0" applyBorder="0" applyAlignment="0" applyProtection="0"/>
    <xf numFmtId="174" fontId="73" fillId="44" borderId="0" applyNumberFormat="0" applyBorder="0" applyAlignment="0" applyProtection="0"/>
    <xf numFmtId="174" fontId="73" fillId="44" borderId="0" applyNumberFormat="0" applyBorder="0" applyAlignment="0" applyProtection="0"/>
    <xf numFmtId="174" fontId="6" fillId="0" borderId="10">
      <alignment vertical="center"/>
    </xf>
    <xf numFmtId="174" fontId="27" fillId="0" borderId="11">
      <alignment vertical="center"/>
    </xf>
    <xf numFmtId="174" fontId="27" fillId="0" borderId="11">
      <alignment vertical="center"/>
    </xf>
    <xf numFmtId="174" fontId="27" fillId="0" borderId="11">
      <alignment vertical="center"/>
    </xf>
    <xf numFmtId="174" fontId="6" fillId="49" borderId="0">
      <alignment horizontal="center"/>
    </xf>
    <xf numFmtId="174" fontId="27" fillId="50" borderId="0">
      <alignment horizontal="center"/>
    </xf>
    <xf numFmtId="174" fontId="27" fillId="50" borderId="0">
      <alignment horizontal="center"/>
    </xf>
    <xf numFmtId="174" fontId="27" fillId="50" borderId="0">
      <alignment horizontal="center"/>
    </xf>
    <xf numFmtId="174" fontId="6" fillId="0" borderId="12" applyNumberFormat="0" applyAlignment="0" applyProtection="0">
      <alignment horizontal="left" vertical="center"/>
    </xf>
    <xf numFmtId="174" fontId="27" fillId="0" borderId="13" applyNumberFormat="0" applyAlignment="0" applyProtection="0"/>
    <xf numFmtId="174" fontId="27" fillId="0" borderId="13" applyNumberFormat="0" applyAlignment="0" applyProtection="0"/>
    <xf numFmtId="174" fontId="27" fillId="0" borderId="13" applyNumberFormat="0" applyAlignment="0" applyProtection="0"/>
    <xf numFmtId="174" fontId="6" fillId="1" borderId="0"/>
    <xf numFmtId="174" fontId="27" fillId="42" borderId="0"/>
    <xf numFmtId="174" fontId="27" fillId="42" borderId="0"/>
    <xf numFmtId="174" fontId="27" fillId="42" borderId="0"/>
    <xf numFmtId="174" fontId="31" fillId="0" borderId="0" applyNumberFormat="0" applyFill="0" applyBorder="0" applyAlignment="0" applyProtection="0"/>
    <xf numFmtId="174" fontId="11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174" fontId="12" fillId="0" borderId="15" applyNumberFormat="0" applyFill="0" applyAlignment="0" applyProtection="0"/>
    <xf numFmtId="0" fontId="12" fillId="0" borderId="15" applyNumberFormat="0" applyFill="0" applyAlignment="0" applyProtection="0"/>
    <xf numFmtId="0" fontId="12" fillId="0" borderId="15" applyNumberFormat="0" applyFill="0" applyAlignment="0" applyProtection="0"/>
    <xf numFmtId="174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174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4" fontId="6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6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5" fillId="0" borderId="0"/>
    <xf numFmtId="176" fontId="32" fillId="0" borderId="8">
      <alignment horizontal="center" vertical="center" wrapText="1"/>
    </xf>
    <xf numFmtId="176" fontId="32" fillId="0" borderId="9">
      <alignment horizontal="center" vertical="center" wrapText="1"/>
    </xf>
    <xf numFmtId="176" fontId="32" fillId="0" borderId="9">
      <alignment horizontal="center" vertical="center" wrapText="1"/>
    </xf>
    <xf numFmtId="176" fontId="32" fillId="0" borderId="9">
      <alignment horizontal="center" vertical="center" wrapText="1"/>
    </xf>
    <xf numFmtId="174" fontId="6" fillId="51" borderId="0" applyNumberFormat="0" applyBorder="0" applyAlignment="0">
      <alignment vertical="top"/>
      <protection locked="0"/>
    </xf>
    <xf numFmtId="10" fontId="73" fillId="52" borderId="8" applyNumberFormat="0" applyBorder="0" applyAlignment="0" applyProtection="0"/>
    <xf numFmtId="174" fontId="73" fillId="53" borderId="0" applyNumberFormat="0" applyBorder="0" applyAlignment="0" applyProtection="0"/>
    <xf numFmtId="174" fontId="73" fillId="53" borderId="0" applyNumberFormat="0" applyBorder="0" applyAlignment="0" applyProtection="0"/>
    <xf numFmtId="174" fontId="73" fillId="53" borderId="0" applyNumberFormat="0" applyBorder="0" applyAlignment="0" applyProtection="0"/>
    <xf numFmtId="174" fontId="27" fillId="54" borderId="0" applyNumberFormat="0" applyBorder="0" applyAlignment="0">
      <protection locked="0"/>
    </xf>
    <xf numFmtId="174" fontId="27" fillId="54" borderId="0" applyNumberFormat="0" applyBorder="0" applyAlignment="0">
      <protection locked="0"/>
    </xf>
    <xf numFmtId="174" fontId="27" fillId="54" borderId="0" applyNumberFormat="0" applyBorder="0" applyAlignment="0">
      <protection locked="0"/>
    </xf>
    <xf numFmtId="0" fontId="8" fillId="16" borderId="5" applyNumberFormat="0" applyAlignment="0" applyProtection="0"/>
    <xf numFmtId="0" fontId="8" fillId="16" borderId="5" applyNumberFormat="0" applyAlignment="0" applyProtection="0"/>
    <xf numFmtId="174" fontId="8" fillId="16" borderId="5" applyNumberFormat="0" applyAlignment="0" applyProtection="0"/>
    <xf numFmtId="174" fontId="6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6" fillId="0" borderId="0"/>
    <xf numFmtId="174" fontId="27" fillId="0" borderId="0"/>
    <xf numFmtId="174" fontId="27" fillId="0" borderId="0"/>
    <xf numFmtId="174" fontId="27" fillId="0" borderId="0"/>
    <xf numFmtId="174" fontId="6" fillId="0" borderId="0"/>
    <xf numFmtId="174" fontId="27" fillId="0" borderId="0"/>
    <xf numFmtId="174" fontId="27" fillId="0" borderId="0"/>
    <xf numFmtId="174" fontId="27" fillId="0" borderId="0"/>
    <xf numFmtId="15" fontId="6" fillId="55" borderId="0">
      <alignment horizontal="right"/>
    </xf>
    <xf numFmtId="213" fontId="27" fillId="56" borderId="0">
      <alignment horizontal="right"/>
    </xf>
    <xf numFmtId="213" fontId="27" fillId="56" borderId="0">
      <alignment horizontal="right"/>
    </xf>
    <xf numFmtId="213" fontId="27" fillId="56" borderId="0">
      <alignment horizontal="right"/>
    </xf>
    <xf numFmtId="174" fontId="6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6" fillId="55" borderId="0">
      <alignment horizontal="left"/>
      <protection locked="0"/>
    </xf>
    <xf numFmtId="174" fontId="27" fillId="56" borderId="0">
      <alignment horizontal="left"/>
      <protection locked="0"/>
    </xf>
    <xf numFmtId="174" fontId="27" fillId="56" borderId="0">
      <alignment horizontal="left"/>
      <protection locked="0"/>
    </xf>
    <xf numFmtId="174" fontId="27" fillId="56" borderId="0">
      <alignment horizontal="left"/>
      <protection locked="0"/>
    </xf>
    <xf numFmtId="174" fontId="6" fillId="55" borderId="0">
      <alignment horizontal="center"/>
    </xf>
    <xf numFmtId="174" fontId="27" fillId="56" borderId="0">
      <alignment horizontal="center"/>
    </xf>
    <xf numFmtId="174" fontId="27" fillId="56" borderId="0">
      <alignment horizontal="center"/>
    </xf>
    <xf numFmtId="174" fontId="27" fillId="56" borderId="0">
      <alignment horizontal="center"/>
    </xf>
    <xf numFmtId="1" fontId="6" fillId="57" borderId="0">
      <alignment horizontal="right"/>
    </xf>
    <xf numFmtId="1" fontId="27" fillId="56" borderId="0">
      <alignment horizontal="right"/>
    </xf>
    <xf numFmtId="1" fontId="27" fillId="56" borderId="0">
      <alignment horizontal="right"/>
    </xf>
    <xf numFmtId="1" fontId="27" fillId="56" borderId="0">
      <alignment horizontal="right"/>
    </xf>
    <xf numFmtId="1" fontId="6" fillId="0" borderId="0">
      <alignment horizontal="center"/>
      <protection locked="0"/>
    </xf>
    <xf numFmtId="1" fontId="27" fillId="0" borderId="0">
      <alignment horizontal="center"/>
      <protection locked="0"/>
    </xf>
    <xf numFmtId="1" fontId="27" fillId="0" borderId="0">
      <alignment horizontal="center"/>
      <protection locked="0"/>
    </xf>
    <xf numFmtId="1" fontId="27" fillId="0" borderId="0">
      <alignment horizontal="center"/>
      <protection locked="0"/>
    </xf>
    <xf numFmtId="174" fontId="6" fillId="0" borderId="0" applyNumberFormat="0" applyFill="0" applyBorder="0" applyAlignment="0" applyProtection="0">
      <alignment vertical="top"/>
      <protection locked="0"/>
    </xf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6" fillId="0" borderId="0" applyNumberFormat="0" applyFill="0" applyBorder="0" applyAlignment="0" applyProtection="0">
      <alignment vertical="top"/>
      <protection locked="0"/>
    </xf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33" fillId="0" borderId="17"/>
    <xf numFmtId="174" fontId="33" fillId="0" borderId="18"/>
    <xf numFmtId="174" fontId="33" fillId="0" borderId="18"/>
    <xf numFmtId="174" fontId="33" fillId="0" borderId="18"/>
    <xf numFmtId="174" fontId="34" fillId="0" borderId="3"/>
    <xf numFmtId="174" fontId="34" fillId="0" borderId="4"/>
    <xf numFmtId="174" fontId="34" fillId="0" borderId="4"/>
    <xf numFmtId="174" fontId="34" fillId="0" borderId="4"/>
    <xf numFmtId="174" fontId="35" fillId="0" borderId="8"/>
    <xf numFmtId="174" fontId="35" fillId="0" borderId="9"/>
    <xf numFmtId="174" fontId="35" fillId="0" borderId="9"/>
    <xf numFmtId="174" fontId="35" fillId="0" borderId="9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6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174" fontId="6" fillId="0" borderId="0">
      <alignment horizontal="center"/>
    </xf>
    <xf numFmtId="174" fontId="27" fillId="0" borderId="0">
      <alignment horizontal="center"/>
    </xf>
    <xf numFmtId="174" fontId="27" fillId="0" borderId="0">
      <alignment horizontal="center"/>
    </xf>
    <xf numFmtId="174" fontId="27" fillId="0" borderId="0">
      <alignment horizontal="center"/>
    </xf>
    <xf numFmtId="174" fontId="6" fillId="0" borderId="20">
      <alignment horizontal="centerContinuous"/>
    </xf>
    <xf numFmtId="174" fontId="27" fillId="0" borderId="21">
      <alignment horizontal="center"/>
    </xf>
    <xf numFmtId="174" fontId="27" fillId="0" borderId="21">
      <alignment horizontal="center"/>
    </xf>
    <xf numFmtId="174" fontId="27" fillId="0" borderId="21">
      <alignment horizontal="center"/>
    </xf>
    <xf numFmtId="184" fontId="38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6" fillId="0" borderId="0"/>
    <xf numFmtId="174" fontId="27" fillId="0" borderId="0"/>
    <xf numFmtId="174" fontId="27" fillId="0" borderId="0"/>
    <xf numFmtId="174" fontId="27" fillId="0" borderId="0"/>
    <xf numFmtId="184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67" fillId="0" borderId="0" applyNumberFormat="0" applyFill="0" applyBorder="0" applyAlignment="0" applyProtection="0"/>
    <xf numFmtId="174" fontId="6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27" fillId="0" borderId="0">
      <protection locked="0"/>
    </xf>
    <xf numFmtId="174" fontId="38" fillId="0" borderId="0" applyNumberFormat="0" applyFon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17" fillId="58" borderId="0" applyNumberFormat="0" applyBorder="0" applyAlignment="0" applyProtection="0"/>
    <xf numFmtId="174" fontId="17" fillId="3" borderId="0" applyNumberFormat="0" applyBorder="0" applyAlignment="0" applyProtection="0"/>
    <xf numFmtId="174" fontId="17" fillId="3" borderId="0" applyNumberFormat="0" applyBorder="0" applyAlignment="0" applyProtection="0"/>
    <xf numFmtId="174" fontId="17" fillId="3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91" fillId="0" borderId="22"/>
    <xf numFmtId="186" fontId="6" fillId="0" borderId="0"/>
    <xf numFmtId="186" fontId="27" fillId="0" borderId="0"/>
    <xf numFmtId="186" fontId="27" fillId="0" borderId="0"/>
    <xf numFmtId="186" fontId="27" fillId="0" borderId="0"/>
    <xf numFmtId="174" fontId="37" fillId="0" borderId="0">
      <alignment horizontal="right"/>
    </xf>
    <xf numFmtId="174" fontId="76" fillId="0" borderId="0"/>
    <xf numFmtId="174" fontId="6" fillId="0" borderId="0"/>
    <xf numFmtId="174" fontId="5" fillId="0" borderId="0"/>
    <xf numFmtId="174" fontId="6" fillId="55" borderId="0">
      <alignment horizontal="center"/>
    </xf>
    <xf numFmtId="174" fontId="27" fillId="56" borderId="0">
      <alignment horizontal="center"/>
    </xf>
    <xf numFmtId="174" fontId="27" fillId="56" borderId="0">
      <alignment horizontal="center"/>
    </xf>
    <xf numFmtId="174" fontId="27" fillId="56" borderId="0">
      <alignment horizontal="center"/>
    </xf>
    <xf numFmtId="174" fontId="1" fillId="59" borderId="23" applyNumberFormat="0" applyFont="0" applyAlignment="0" applyProtection="0"/>
    <xf numFmtId="174" fontId="27" fillId="53" borderId="23" applyNumberFormat="0" applyAlignment="0" applyProtection="0"/>
    <xf numFmtId="174" fontId="27" fillId="53" borderId="23" applyNumberFormat="0" applyAlignment="0" applyProtection="0"/>
    <xf numFmtId="174" fontId="27" fillId="53" borderId="23" applyNumberFormat="0" applyAlignment="0" applyProtection="0"/>
    <xf numFmtId="0" fontId="1" fillId="59" borderId="23" applyNumberFormat="0" applyFont="0" applyAlignment="0" applyProtection="0"/>
    <xf numFmtId="0" fontId="1" fillId="59" borderId="23" applyNumberFormat="0" applyFont="0" applyAlignment="0" applyProtection="0"/>
    <xf numFmtId="174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" fontId="68" fillId="0" borderId="0" applyFont="0" applyFill="0" applyBorder="0" applyAlignment="0" applyProtection="0"/>
    <xf numFmtId="187" fontId="38" fillId="0" borderId="0" applyFont="0" applyFill="0" applyBorder="0" applyAlignment="0" applyProtection="0"/>
    <xf numFmtId="188" fontId="38" fillId="0" borderId="0" applyFont="0" applyFill="0" applyBorder="0" applyAlignment="0" applyProtection="0"/>
    <xf numFmtId="174" fontId="9" fillId="45" borderId="24" applyNumberFormat="0" applyAlignment="0" applyProtection="0"/>
    <xf numFmtId="174" fontId="9" fillId="44" borderId="24" applyNumberFormat="0" applyAlignment="0" applyProtection="0"/>
    <xf numFmtId="174" fontId="9" fillId="44" borderId="24" applyNumberFormat="0" applyAlignment="0" applyProtection="0"/>
    <xf numFmtId="174" fontId="9" fillId="44" borderId="24" applyNumberFormat="0" applyAlignment="0" applyProtection="0"/>
    <xf numFmtId="0" fontId="9" fillId="45" borderId="24" applyNumberFormat="0" applyAlignment="0" applyProtection="0"/>
    <xf numFmtId="0" fontId="9" fillId="45" borderId="24" applyNumberFormat="0" applyAlignment="0" applyProtection="0"/>
    <xf numFmtId="201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174" fontId="68" fillId="0" borderId="0"/>
    <xf numFmtId="203" fontId="38" fillId="0" borderId="0" applyFont="0" applyFill="0" applyBorder="0" applyAlignment="0" applyProtection="0"/>
    <xf numFmtId="203" fontId="27" fillId="0" borderId="0" applyFill="0" applyBorder="0" applyAlignment="0" applyProtection="0"/>
    <xf numFmtId="203" fontId="27" fillId="0" borderId="0" applyFill="0" applyBorder="0" applyAlignment="0" applyProtection="0"/>
    <xf numFmtId="203" fontId="27" fillId="0" borderId="0" applyFill="0" applyBorder="0" applyAlignment="0" applyProtection="0"/>
    <xf numFmtId="195" fontId="38" fillId="0" borderId="0" applyFont="0" applyFill="0" applyBorder="0" applyAlignment="0" applyProtection="0"/>
    <xf numFmtId="207" fontId="27" fillId="0" borderId="0" applyFill="0" applyBorder="0" applyAlignment="0" applyProtection="0"/>
    <xf numFmtId="207" fontId="27" fillId="0" borderId="0" applyFill="0" applyBorder="0" applyAlignment="0" applyProtection="0"/>
    <xf numFmtId="207" fontId="27" fillId="0" borderId="0" applyFill="0" applyBorder="0" applyAlignment="0" applyProtection="0"/>
    <xf numFmtId="10" fontId="38" fillId="0" borderId="0" applyFont="0" applyFill="0" applyBorder="0" applyAlignment="0" applyProtection="0"/>
    <xf numFmtId="10" fontId="27" fillId="0" borderId="0" applyFill="0" applyBorder="0" applyAlignment="0" applyProtection="0"/>
    <xf numFmtId="10" fontId="27" fillId="0" borderId="0" applyFill="0" applyBorder="0" applyAlignment="0" applyProtection="0"/>
    <xf numFmtId="10" fontId="27" fillId="0" borderId="0" applyFill="0" applyBorder="0" applyAlignment="0" applyProtection="0"/>
    <xf numFmtId="37" fontId="39" fillId="2" borderId="25"/>
    <xf numFmtId="37" fontId="39" fillId="3" borderId="26"/>
    <xf numFmtId="37" fontId="39" fillId="3" borderId="26"/>
    <xf numFmtId="37" fontId="39" fillId="3" borderId="26"/>
    <xf numFmtId="37" fontId="39" fillId="2" borderId="25"/>
    <xf numFmtId="37" fontId="39" fillId="3" borderId="26"/>
    <xf numFmtId="37" fontId="39" fillId="3" borderId="26"/>
    <xf numFmtId="37" fontId="39" fillId="3" borderId="26"/>
    <xf numFmtId="171" fontId="77" fillId="0" borderId="0" applyFill="0" applyBorder="0" applyAlignment="0"/>
    <xf numFmtId="217" fontId="77" fillId="0" borderId="0" applyFill="0" applyBorder="0" applyAlignment="0"/>
    <xf numFmtId="217" fontId="77" fillId="0" borderId="0" applyFill="0" applyBorder="0" applyAlignment="0"/>
    <xf numFmtId="217" fontId="77" fillId="0" borderId="0" applyFill="0" applyBorder="0" applyAlignment="0"/>
    <xf numFmtId="174" fontId="77" fillId="0" borderId="0" applyFill="0" applyBorder="0" applyAlignment="0"/>
    <xf numFmtId="171" fontId="77" fillId="0" borderId="0" applyFill="0" applyBorder="0" applyAlignment="0"/>
    <xf numFmtId="217" fontId="77" fillId="0" borderId="0" applyFill="0" applyBorder="0" applyAlignment="0"/>
    <xf numFmtId="217" fontId="77" fillId="0" borderId="0" applyFill="0" applyBorder="0" applyAlignment="0"/>
    <xf numFmtId="217" fontId="77" fillId="0" borderId="0" applyFill="0" applyBorder="0" applyAlignment="0"/>
    <xf numFmtId="174" fontId="77" fillId="0" borderId="0" applyFill="0" applyBorder="0" applyAlignment="0"/>
    <xf numFmtId="174" fontId="77" fillId="0" borderId="0" applyFill="0" applyBorder="0" applyAlignment="0"/>
    <xf numFmtId="181" fontId="40" fillId="0" borderId="27" applyBorder="0">
      <alignment horizontal="right"/>
      <protection locked="0"/>
    </xf>
    <xf numFmtId="181" fontId="79" fillId="0" borderId="0" applyBorder="0">
      <alignment horizontal="right"/>
      <protection locked="0"/>
    </xf>
    <xf numFmtId="181" fontId="79" fillId="0" borderId="0" applyBorder="0">
      <alignment horizontal="right"/>
      <protection locked="0"/>
    </xf>
    <xf numFmtId="181" fontId="79" fillId="0" borderId="0" applyBorder="0">
      <alignment horizontal="right"/>
      <protection locked="0"/>
    </xf>
    <xf numFmtId="4" fontId="41" fillId="0" borderId="28" applyNumberFormat="0" applyProtection="0">
      <alignment horizontal="left" vertical="center" wrapText="1" indent="1"/>
    </xf>
    <xf numFmtId="174" fontId="41" fillId="0" borderId="28" applyNumberFormat="0" applyProtection="0">
      <alignment horizontal="left" vertical="center" wrapText="1" indent="1"/>
    </xf>
    <xf numFmtId="174" fontId="41" fillId="0" borderId="28" applyNumberFormat="0" applyProtection="0">
      <alignment horizontal="left" vertical="center" wrapText="1" indent="1"/>
    </xf>
    <xf numFmtId="174" fontId="41" fillId="0" borderId="28" applyNumberFormat="0" applyProtection="0">
      <alignment horizontal="left" vertical="center" wrapText="1" indent="1"/>
    </xf>
    <xf numFmtId="174" fontId="38" fillId="59" borderId="0" applyNumberFormat="0" applyFont="0" applyBorder="0" applyAlignment="0" applyProtection="0"/>
    <xf numFmtId="174" fontId="27" fillId="53" borderId="0" applyNumberFormat="0" applyBorder="0" applyAlignment="0" applyProtection="0"/>
    <xf numFmtId="174" fontId="27" fillId="53" borderId="0" applyNumberFormat="0" applyBorder="0" applyAlignment="0" applyProtection="0"/>
    <xf numFmtId="174" fontId="27" fillId="53" borderId="0" applyNumberFormat="0" applyBorder="0" applyAlignment="0" applyProtection="0"/>
    <xf numFmtId="174" fontId="38" fillId="60" borderId="0" applyNumberFormat="0" applyFont="0" applyBorder="0" applyAlignment="0" applyProtection="0"/>
    <xf numFmtId="174" fontId="27" fillId="61" borderId="0" applyNumberFormat="0" applyBorder="0" applyAlignment="0" applyProtection="0"/>
    <xf numFmtId="174" fontId="27" fillId="61" borderId="0" applyNumberFormat="0" applyBorder="0" applyAlignment="0" applyProtection="0"/>
    <xf numFmtId="174" fontId="27" fillId="61" borderId="0" applyNumberFormat="0" applyBorder="0" applyAlignment="0" applyProtection="0"/>
    <xf numFmtId="174" fontId="38" fillId="45" borderId="0" applyNumberFormat="0" applyFont="0" applyBorder="0" applyAlignment="0" applyProtection="0"/>
    <xf numFmtId="174" fontId="27" fillId="44" borderId="0" applyNumberFormat="0" applyBorder="0" applyAlignment="0" applyProtection="0"/>
    <xf numFmtId="174" fontId="27" fillId="44" borderId="0" applyNumberFormat="0" applyBorder="0" applyAlignment="0" applyProtection="0"/>
    <xf numFmtId="174" fontId="27" fillId="44" borderId="0" applyNumberFormat="0" applyBorder="0" applyAlignment="0" applyProtection="0"/>
    <xf numFmtId="174" fontId="38" fillId="0" borderId="0" applyNumberFormat="0" applyFon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38" fillId="45" borderId="0" applyNumberFormat="0" applyFont="0" applyBorder="0" applyAlignment="0" applyProtection="0"/>
    <xf numFmtId="174" fontId="27" fillId="44" borderId="0" applyNumberFormat="0" applyBorder="0" applyAlignment="0" applyProtection="0"/>
    <xf numFmtId="174" fontId="27" fillId="44" borderId="0" applyNumberFormat="0" applyBorder="0" applyAlignment="0" applyProtection="0"/>
    <xf numFmtId="174" fontId="27" fillId="44" borderId="0" applyNumberFormat="0" applyBorder="0" applyAlignment="0" applyProtection="0"/>
    <xf numFmtId="174" fontId="38" fillId="0" borderId="0" applyNumberFormat="0" applyFon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38" fillId="0" borderId="0" applyNumberFormat="0" applyFon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201" fontId="74" fillId="0" borderId="0" applyFill="0" applyBorder="0" applyAlignment="0" applyProtection="0"/>
    <xf numFmtId="216" fontId="80" fillId="0" borderId="0" applyFill="0" applyBorder="0" applyAlignment="0" applyProtection="0"/>
    <xf numFmtId="216" fontId="80" fillId="0" borderId="0" applyFill="0" applyBorder="0" applyAlignment="0" applyProtection="0"/>
    <xf numFmtId="216" fontId="80" fillId="0" borderId="0" applyFill="0" applyBorder="0" applyAlignment="0" applyProtection="0"/>
    <xf numFmtId="1" fontId="6" fillId="0" borderId="0" applyBorder="0">
      <alignment horizontal="left" vertical="top" wrapText="1"/>
    </xf>
    <xf numFmtId="1" fontId="27" fillId="0" borderId="0" applyBorder="0">
      <alignment horizontal="left" vertical="top" wrapText="1"/>
    </xf>
    <xf numFmtId="1" fontId="27" fillId="0" borderId="0" applyBorder="0">
      <alignment horizontal="left" vertical="top" wrapText="1"/>
    </xf>
    <xf numFmtId="1" fontId="27" fillId="0" borderId="0" applyBorder="0">
      <alignment horizontal="left" vertical="top" wrapText="1"/>
    </xf>
    <xf numFmtId="174" fontId="6" fillId="62" borderId="0" applyNumberFormat="0" applyBorder="0" applyAlignment="0" applyProtection="0"/>
    <xf numFmtId="174" fontId="27" fillId="35" borderId="0" applyNumberFormat="0" applyBorder="0" applyAlignment="0" applyProtection="0"/>
    <xf numFmtId="174" fontId="27" fillId="35" borderId="0" applyNumberFormat="0" applyBorder="0" applyAlignment="0" applyProtection="0"/>
    <xf numFmtId="174" fontId="27" fillId="35" borderId="0" applyNumberFormat="0" applyBorder="0" applyAlignment="0" applyProtection="0"/>
    <xf numFmtId="174" fontId="38" fillId="0" borderId="0" applyNumberFormat="0" applyFon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6" fillId="63" borderId="0" applyNumberFormat="0" applyBorder="0" applyAlignment="0" applyProtection="0"/>
    <xf numFmtId="174" fontId="27" fillId="64" borderId="0" applyNumberFormat="0" applyBorder="0" applyAlignment="0" applyProtection="0"/>
    <xf numFmtId="174" fontId="27" fillId="64" borderId="0" applyNumberFormat="0" applyBorder="0" applyAlignment="0" applyProtection="0"/>
    <xf numFmtId="174" fontId="27" fillId="64" borderId="0" applyNumberFormat="0" applyBorder="0" applyAlignment="0" applyProtection="0"/>
    <xf numFmtId="174" fontId="6" fillId="63" borderId="0" applyNumberFormat="0" applyBorder="0" applyAlignment="0" applyProtection="0"/>
    <xf numFmtId="174" fontId="27" fillId="64" borderId="0" applyNumberFormat="0" applyBorder="0" applyAlignment="0" applyProtection="0"/>
    <xf numFmtId="174" fontId="27" fillId="64" borderId="0" applyNumberFormat="0" applyBorder="0" applyAlignment="0" applyProtection="0"/>
    <xf numFmtId="174" fontId="27" fillId="64" borderId="0" applyNumberFormat="0" applyBorder="0" applyAlignment="0" applyProtection="0"/>
    <xf numFmtId="3" fontId="38" fillId="0" borderId="0" applyNumberFormat="0" applyFon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6" fillId="65" borderId="0" applyNumberFormat="0" applyBorder="0" applyAlignment="0" applyProtection="0"/>
    <xf numFmtId="174" fontId="27" fillId="29" borderId="0" applyNumberFormat="0" applyBorder="0" applyAlignment="0" applyProtection="0"/>
    <xf numFmtId="174" fontId="27" fillId="29" borderId="0" applyNumberFormat="0" applyBorder="0" applyAlignment="0" applyProtection="0"/>
    <xf numFmtId="174" fontId="27" fillId="29" borderId="0" applyNumberFormat="0" applyBorder="0" applyAlignment="0" applyProtection="0"/>
    <xf numFmtId="174" fontId="6" fillId="65" borderId="0" applyNumberFormat="0" applyBorder="0" applyAlignment="0" applyProtection="0"/>
    <xf numFmtId="174" fontId="27" fillId="29" borderId="0" applyNumberFormat="0" applyBorder="0" applyAlignment="0" applyProtection="0"/>
    <xf numFmtId="174" fontId="27" fillId="29" borderId="0" applyNumberFormat="0" applyBorder="0" applyAlignment="0" applyProtection="0"/>
    <xf numFmtId="174" fontId="27" fillId="29" borderId="0" applyNumberFormat="0" applyBorder="0" applyAlignment="0" applyProtection="0"/>
    <xf numFmtId="3" fontId="38" fillId="0" borderId="0" applyNumberFormat="0" applyFon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38" fillId="66" borderId="0" applyNumberFormat="0" applyBorder="0" applyAlignment="0" applyProtection="0"/>
    <xf numFmtId="174" fontId="38" fillId="27" borderId="0" applyNumberFormat="0" applyBorder="0" applyAlignment="0" applyProtection="0"/>
    <xf numFmtId="174" fontId="38" fillId="27" borderId="0" applyNumberFormat="0" applyBorder="0" applyAlignment="0" applyProtection="0"/>
    <xf numFmtId="174" fontId="38" fillId="27" borderId="0" applyNumberFormat="0" applyBorder="0" applyAlignment="0" applyProtection="0"/>
    <xf numFmtId="174" fontId="6" fillId="66" borderId="0" applyNumberFormat="0" applyBorder="0" applyAlignment="0" applyProtection="0"/>
    <xf numFmtId="174" fontId="27" fillId="27" borderId="0" applyNumberFormat="0" applyBorder="0" applyAlignment="0" applyProtection="0"/>
    <xf numFmtId="174" fontId="27" fillId="27" borderId="0" applyNumberFormat="0" applyBorder="0" applyAlignment="0" applyProtection="0"/>
    <xf numFmtId="174" fontId="27" fillId="27" borderId="0" applyNumberFormat="0" applyBorder="0" applyAlignment="0" applyProtection="0"/>
    <xf numFmtId="3" fontId="38" fillId="0" borderId="0" applyNumberFormat="0" applyFon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3" fontId="6" fillId="67" borderId="0" applyNumberFormat="0" applyBorder="0" applyAlignment="0" applyProtection="0"/>
    <xf numFmtId="174" fontId="27" fillId="68" borderId="0" applyNumberFormat="0" applyBorder="0" applyAlignment="0" applyProtection="0"/>
    <xf numFmtId="174" fontId="27" fillId="68" borderId="0" applyNumberFormat="0" applyBorder="0" applyAlignment="0" applyProtection="0"/>
    <xf numFmtId="174" fontId="27" fillId="68" borderId="0" applyNumberFormat="0" applyBorder="0" applyAlignment="0" applyProtection="0"/>
    <xf numFmtId="3" fontId="6" fillId="67" borderId="0" applyNumberFormat="0" applyBorder="0" applyAlignment="0" applyProtection="0"/>
    <xf numFmtId="174" fontId="27" fillId="68" borderId="0" applyNumberFormat="0" applyBorder="0" applyAlignment="0" applyProtection="0"/>
    <xf numFmtId="174" fontId="27" fillId="68" borderId="0" applyNumberFormat="0" applyBorder="0" applyAlignment="0" applyProtection="0"/>
    <xf numFmtId="174" fontId="27" fillId="68" borderId="0" applyNumberFormat="0" applyBorder="0" applyAlignment="0" applyProtection="0"/>
    <xf numFmtId="3" fontId="38" fillId="0" borderId="0" applyNumberFormat="0" applyFon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3" fontId="6" fillId="69" borderId="0" applyNumberFormat="0" applyBorder="0" applyAlignment="0" applyProtection="0"/>
    <xf numFmtId="174" fontId="27" fillId="21" borderId="0" applyNumberFormat="0" applyBorder="0" applyAlignment="0" applyProtection="0"/>
    <xf numFmtId="174" fontId="27" fillId="21" borderId="0" applyNumberFormat="0" applyBorder="0" applyAlignment="0" applyProtection="0"/>
    <xf numFmtId="174" fontId="27" fillId="21" borderId="0" applyNumberFormat="0" applyBorder="0" applyAlignment="0" applyProtection="0"/>
    <xf numFmtId="3" fontId="6" fillId="69" borderId="0" applyNumberFormat="0" applyBorder="0" applyAlignment="0" applyProtection="0"/>
    <xf numFmtId="174" fontId="27" fillId="21" borderId="0" applyNumberFormat="0" applyBorder="0" applyAlignment="0" applyProtection="0"/>
    <xf numFmtId="174" fontId="27" fillId="21" borderId="0" applyNumberFormat="0" applyBorder="0" applyAlignment="0" applyProtection="0"/>
    <xf numFmtId="174" fontId="27" fillId="21" borderId="0" applyNumberFormat="0" applyBorder="0" applyAlignment="0" applyProtection="0"/>
    <xf numFmtId="174" fontId="38" fillId="0" borderId="0" applyFont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3" fontId="38" fillId="0" borderId="0" applyFont="0" applyFill="0" applyBorder="0" applyAlignment="0" applyProtection="0"/>
    <xf numFmtId="3" fontId="27" fillId="0" borderId="0" applyFill="0" applyBorder="0" applyAlignment="0" applyProtection="0"/>
    <xf numFmtId="3" fontId="27" fillId="0" borderId="0" applyFill="0" applyBorder="0" applyAlignment="0" applyProtection="0"/>
    <xf numFmtId="3" fontId="27" fillId="0" borderId="0" applyFill="0" applyBorder="0" applyAlignment="0" applyProtection="0"/>
    <xf numFmtId="174" fontId="38" fillId="69" borderId="0" applyNumberFormat="0" applyFont="0" applyBorder="0" applyAlignment="0" applyProtection="0"/>
    <xf numFmtId="174" fontId="27" fillId="21" borderId="0" applyNumberFormat="0" applyBorder="0" applyAlignment="0" applyProtection="0"/>
    <xf numFmtId="174" fontId="27" fillId="21" borderId="0" applyNumberFormat="0" applyBorder="0" applyAlignment="0" applyProtection="0"/>
    <xf numFmtId="174" fontId="27" fillId="21" borderId="0" applyNumberFormat="0" applyBorder="0" applyAlignment="0" applyProtection="0"/>
    <xf numFmtId="4" fontId="38" fillId="0" borderId="0" applyFont="0" applyFill="0" applyBorder="0" applyAlignment="0" applyProtection="0"/>
    <xf numFmtId="4" fontId="27" fillId="0" borderId="0" applyFill="0" applyBorder="0" applyAlignment="0" applyProtection="0"/>
    <xf numFmtId="4" fontId="27" fillId="0" borderId="0" applyFill="0" applyBorder="0" applyAlignment="0" applyProtection="0"/>
    <xf numFmtId="4" fontId="27" fillId="0" borderId="0" applyFill="0" applyBorder="0" applyAlignment="0" applyProtection="0"/>
    <xf numFmtId="174" fontId="38" fillId="0" borderId="0"/>
    <xf numFmtId="49" fontId="75" fillId="0" borderId="0" applyFill="0" applyBorder="0" applyAlignment="0"/>
    <xf numFmtId="191" fontId="75" fillId="0" borderId="0" applyFill="0" applyBorder="0" applyAlignment="0"/>
    <xf numFmtId="205" fontId="75" fillId="0" borderId="0" applyFill="0" applyBorder="0" applyAlignment="0"/>
    <xf numFmtId="205" fontId="75" fillId="0" borderId="0" applyFill="0" applyBorder="0" applyAlignment="0"/>
    <xf numFmtId="205" fontId="75" fillId="0" borderId="0" applyFill="0" applyBorder="0" applyAlignment="0"/>
    <xf numFmtId="194" fontId="75" fillId="0" borderId="0" applyFill="0" applyBorder="0" applyAlignment="0"/>
    <xf numFmtId="206" fontId="75" fillId="0" borderId="0" applyFill="0" applyBorder="0" applyAlignment="0"/>
    <xf numFmtId="206" fontId="75" fillId="0" borderId="0" applyFill="0" applyBorder="0" applyAlignment="0"/>
    <xf numFmtId="206" fontId="75" fillId="0" borderId="0" applyFill="0" applyBorder="0" applyAlignment="0"/>
    <xf numFmtId="174" fontId="6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6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27" fillId="0" borderId="0" applyNumberFormat="0" applyFill="0" applyBorder="0" applyAlignment="0" applyProtection="0"/>
    <xf numFmtId="174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4" fontId="6" fillId="0" borderId="29">
      <protection locked="0"/>
    </xf>
    <xf numFmtId="174" fontId="27" fillId="0" borderId="30">
      <protection locked="0"/>
    </xf>
    <xf numFmtId="174" fontId="27" fillId="0" borderId="30">
      <protection locked="0"/>
    </xf>
    <xf numFmtId="174" fontId="27" fillId="0" borderId="30">
      <protection locked="0"/>
    </xf>
    <xf numFmtId="0" fontId="14" fillId="0" borderId="31" applyNumberFormat="0" applyFill="0" applyAlignment="0" applyProtection="0"/>
    <xf numFmtId="0" fontId="14" fillId="0" borderId="31" applyNumberFormat="0" applyFill="0" applyAlignment="0" applyProtection="0"/>
    <xf numFmtId="4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74" fontId="38" fillId="0" borderId="0"/>
    <xf numFmtId="196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98" fontId="38" fillId="0" borderId="0" applyFont="0" applyFill="0" applyBorder="0" applyAlignment="0" applyProtection="0"/>
    <xf numFmtId="204" fontId="38" fillId="0" borderId="0" applyFont="0" applyFill="0" applyBorder="0" applyAlignment="0" applyProtection="0"/>
    <xf numFmtId="174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74" fillId="0" borderId="0" applyFont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174" fontId="27" fillId="0" borderId="0" applyFill="0" applyBorder="0" applyAlignment="0" applyProtection="0"/>
    <xf numFmtId="0" fontId="105" fillId="88" borderId="0" applyNumberFormat="0" applyBorder="0" applyAlignment="0" applyProtection="0"/>
    <xf numFmtId="174" fontId="25" fillId="34" borderId="0" applyNumberFormat="0" applyBorder="0" applyAlignment="0" applyProtection="0"/>
    <xf numFmtId="174" fontId="25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174" fontId="25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174" fontId="25" fillId="35" borderId="0" applyNumberFormat="0" applyBorder="0" applyAlignment="0" applyProtection="0"/>
    <xf numFmtId="174" fontId="25" fillId="35" borderId="0" applyNumberFormat="0" applyBorder="0" applyAlignment="0" applyProtection="0"/>
    <xf numFmtId="174" fontId="25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174" fontId="25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174" fontId="25" fillId="3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174" fontId="25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174" fontId="25" fillId="34" borderId="0" applyNumberFormat="0" applyBorder="0" applyAlignment="0" applyProtection="0"/>
    <xf numFmtId="174" fontId="25" fillId="34" borderId="0" applyNumberFormat="0" applyBorder="0" applyAlignment="0" applyProtection="0"/>
    <xf numFmtId="174" fontId="25" fillId="34" borderId="0" applyNumberFormat="0" applyBorder="0" applyAlignment="0" applyProtection="0"/>
    <xf numFmtId="0" fontId="105" fillId="88" borderId="0" applyNumberFormat="0" applyBorder="0" applyAlignment="0" applyProtection="0"/>
    <xf numFmtId="0" fontId="105" fillId="89" borderId="0" applyNumberFormat="0" applyBorder="0" applyAlignment="0" applyProtection="0"/>
    <xf numFmtId="174" fontId="25" fillId="36" borderId="0" applyNumberFormat="0" applyBorder="0" applyAlignment="0" applyProtection="0"/>
    <xf numFmtId="174" fontId="25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174" fontId="25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174" fontId="25" fillId="37" borderId="0" applyNumberFormat="0" applyBorder="0" applyAlignment="0" applyProtection="0"/>
    <xf numFmtId="174" fontId="25" fillId="37" borderId="0" applyNumberFormat="0" applyBorder="0" applyAlignment="0" applyProtection="0"/>
    <xf numFmtId="174" fontId="25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174" fontId="25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174" fontId="25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174" fontId="25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174" fontId="25" fillId="36" borderId="0" applyNumberFormat="0" applyBorder="0" applyAlignment="0" applyProtection="0"/>
    <xf numFmtId="174" fontId="25" fillId="36" borderId="0" applyNumberFormat="0" applyBorder="0" applyAlignment="0" applyProtection="0"/>
    <xf numFmtId="174" fontId="25" fillId="36" borderId="0" applyNumberFormat="0" applyBorder="0" applyAlignment="0" applyProtection="0"/>
    <xf numFmtId="0" fontId="105" fillId="89" borderId="0" applyNumberFormat="0" applyBorder="0" applyAlignment="0" applyProtection="0"/>
    <xf numFmtId="0" fontId="105" fillId="90" borderId="0" applyNumberFormat="0" applyBorder="0" applyAlignment="0" applyProtection="0"/>
    <xf numFmtId="174" fontId="25" fillId="38" borderId="0" applyNumberFormat="0" applyBorder="0" applyAlignment="0" applyProtection="0"/>
    <xf numFmtId="174" fontId="25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174" fontId="25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174" fontId="25" fillId="39" borderId="0" applyNumberFormat="0" applyBorder="0" applyAlignment="0" applyProtection="0"/>
    <xf numFmtId="174" fontId="25" fillId="39" borderId="0" applyNumberFormat="0" applyBorder="0" applyAlignment="0" applyProtection="0"/>
    <xf numFmtId="174" fontId="25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174" fontId="25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174" fontId="25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174" fontId="25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174" fontId="25" fillId="38" borderId="0" applyNumberFormat="0" applyBorder="0" applyAlignment="0" applyProtection="0"/>
    <xf numFmtId="174" fontId="25" fillId="38" borderId="0" applyNumberFormat="0" applyBorder="0" applyAlignment="0" applyProtection="0"/>
    <xf numFmtId="174" fontId="25" fillId="38" borderId="0" applyNumberFormat="0" applyBorder="0" applyAlignment="0" applyProtection="0"/>
    <xf numFmtId="0" fontId="105" fillId="90" borderId="0" applyNumberFormat="0" applyBorder="0" applyAlignment="0" applyProtection="0"/>
    <xf numFmtId="0" fontId="105" fillId="91" borderId="0" applyNumberFormat="0" applyBorder="0" applyAlignment="0" applyProtection="0"/>
    <xf numFmtId="174" fontId="25" fillId="28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9" borderId="0" applyNumberFormat="0" applyBorder="0" applyAlignment="0" applyProtection="0"/>
    <xf numFmtId="174" fontId="25" fillId="29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174" fontId="25" fillId="28" borderId="0" applyNumberFormat="0" applyBorder="0" applyAlignment="0" applyProtection="0"/>
    <xf numFmtId="174" fontId="25" fillId="28" borderId="0" applyNumberFormat="0" applyBorder="0" applyAlignment="0" applyProtection="0"/>
    <xf numFmtId="174" fontId="25" fillId="28" borderId="0" applyNumberFormat="0" applyBorder="0" applyAlignment="0" applyProtection="0"/>
    <xf numFmtId="0" fontId="105" fillId="91" borderId="0" applyNumberFormat="0" applyBorder="0" applyAlignment="0" applyProtection="0"/>
    <xf numFmtId="0" fontId="105" fillId="92" borderId="0" applyNumberFormat="0" applyBorder="0" applyAlignment="0" applyProtection="0"/>
    <xf numFmtId="174" fontId="25" fillId="30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1" borderId="0" applyNumberFormat="0" applyBorder="0" applyAlignment="0" applyProtection="0"/>
    <xf numFmtId="174" fontId="25" fillId="31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174" fontId="25" fillId="30" borderId="0" applyNumberFormat="0" applyBorder="0" applyAlignment="0" applyProtection="0"/>
    <xf numFmtId="174" fontId="25" fillId="30" borderId="0" applyNumberFormat="0" applyBorder="0" applyAlignment="0" applyProtection="0"/>
    <xf numFmtId="174" fontId="25" fillId="30" borderId="0" applyNumberFormat="0" applyBorder="0" applyAlignment="0" applyProtection="0"/>
    <xf numFmtId="0" fontId="105" fillId="92" borderId="0" applyNumberFormat="0" applyBorder="0" applyAlignment="0" applyProtection="0"/>
    <xf numFmtId="0" fontId="105" fillId="93" borderId="0" applyNumberFormat="0" applyBorder="0" applyAlignment="0" applyProtection="0"/>
    <xf numFmtId="0" fontId="106" fillId="93" borderId="0" applyNumberFormat="0" applyBorder="0" applyAlignment="0" applyProtection="0"/>
    <xf numFmtId="174" fontId="25" fillId="40" borderId="0" applyNumberFormat="0" applyBorder="0" applyAlignment="0" applyProtection="0"/>
    <xf numFmtId="174" fontId="25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174" fontId="25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174" fontId="25" fillId="41" borderId="0" applyNumberFormat="0" applyBorder="0" applyAlignment="0" applyProtection="0"/>
    <xf numFmtId="174" fontId="25" fillId="41" borderId="0" applyNumberFormat="0" applyBorder="0" applyAlignment="0" applyProtection="0"/>
    <xf numFmtId="174" fontId="25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174" fontId="25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174" fontId="25" fillId="4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174" fontId="25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174" fontId="25" fillId="40" borderId="0" applyNumberFormat="0" applyBorder="0" applyAlignment="0" applyProtection="0"/>
    <xf numFmtId="174" fontId="25" fillId="40" borderId="0" applyNumberFormat="0" applyBorder="0" applyAlignment="0" applyProtection="0"/>
    <xf numFmtId="174" fontId="25" fillId="40" borderId="0" applyNumberFormat="0" applyBorder="0" applyAlignment="0" applyProtection="0"/>
    <xf numFmtId="0" fontId="105" fillId="93" borderId="0" applyNumberFormat="0" applyBorder="0" applyAlignment="0" applyProtection="0"/>
    <xf numFmtId="0" fontId="107" fillId="94" borderId="38" applyNumberFormat="0" applyAlignment="0" applyProtection="0"/>
    <xf numFmtId="174" fontId="42" fillId="16" borderId="5" applyNumberFormat="0" applyAlignment="0" applyProtection="0"/>
    <xf numFmtId="174" fontId="42" fillId="17" borderId="5" applyNumberFormat="0" applyAlignment="0" applyProtection="0"/>
    <xf numFmtId="0" fontId="8" fillId="16" borderId="5" applyNumberFormat="0" applyAlignment="0" applyProtection="0"/>
    <xf numFmtId="0" fontId="8" fillId="16" borderId="5" applyNumberFormat="0" applyAlignment="0" applyProtection="0"/>
    <xf numFmtId="174" fontId="42" fillId="17" borderId="5" applyNumberFormat="0" applyAlignment="0" applyProtection="0"/>
    <xf numFmtId="0" fontId="8" fillId="16" borderId="5" applyNumberFormat="0" applyAlignment="0" applyProtection="0"/>
    <xf numFmtId="0" fontId="8" fillId="16" borderId="5" applyNumberFormat="0" applyAlignment="0" applyProtection="0"/>
    <xf numFmtId="174" fontId="42" fillId="17" borderId="5" applyNumberFormat="0" applyAlignment="0" applyProtection="0"/>
    <xf numFmtId="174" fontId="42" fillId="17" borderId="5" applyNumberFormat="0" applyAlignment="0" applyProtection="0"/>
    <xf numFmtId="174" fontId="42" fillId="17" borderId="5" applyNumberFormat="0" applyAlignment="0" applyProtection="0"/>
    <xf numFmtId="0" fontId="8" fillId="16" borderId="5" applyNumberFormat="0" applyAlignment="0" applyProtection="0"/>
    <xf numFmtId="0" fontId="8" fillId="16" borderId="5" applyNumberFormat="0" applyAlignment="0" applyProtection="0"/>
    <xf numFmtId="174" fontId="42" fillId="17" borderId="5" applyNumberFormat="0" applyAlignment="0" applyProtection="0"/>
    <xf numFmtId="0" fontId="8" fillId="16" borderId="5" applyNumberFormat="0" applyAlignment="0" applyProtection="0"/>
    <xf numFmtId="0" fontId="8" fillId="16" borderId="5" applyNumberFormat="0" applyAlignment="0" applyProtection="0"/>
    <xf numFmtId="0" fontId="8" fillId="16" borderId="5" applyNumberFormat="0" applyAlignment="0" applyProtection="0"/>
    <xf numFmtId="174" fontId="42" fillId="17" borderId="5" applyNumberFormat="0" applyAlignment="0" applyProtection="0"/>
    <xf numFmtId="0" fontId="8" fillId="16" borderId="5" applyNumberFormat="0" applyAlignment="0" applyProtection="0"/>
    <xf numFmtId="0" fontId="8" fillId="16" borderId="5" applyNumberFormat="0" applyAlignment="0" applyProtection="0"/>
    <xf numFmtId="174" fontId="42" fillId="16" borderId="5" applyNumberFormat="0" applyAlignment="0" applyProtection="0"/>
    <xf numFmtId="0" fontId="8" fillId="16" borderId="5" applyNumberFormat="0" applyAlignment="0" applyProtection="0"/>
    <xf numFmtId="0" fontId="8" fillId="16" borderId="5" applyNumberFormat="0" applyAlignment="0" applyProtection="0"/>
    <xf numFmtId="174" fontId="42" fillId="16" borderId="5" applyNumberFormat="0" applyAlignment="0" applyProtection="0"/>
    <xf numFmtId="174" fontId="42" fillId="16" borderId="5" applyNumberFormat="0" applyAlignment="0" applyProtection="0"/>
    <xf numFmtId="174" fontId="42" fillId="16" borderId="5" applyNumberFormat="0" applyAlignment="0" applyProtection="0"/>
    <xf numFmtId="0" fontId="107" fillId="94" borderId="38" applyNumberFormat="0" applyAlignment="0" applyProtection="0"/>
    <xf numFmtId="3" fontId="43" fillId="0" borderId="0">
      <alignment horizontal="center" vertical="center" textRotation="90" wrapText="1"/>
    </xf>
    <xf numFmtId="180" fontId="27" fillId="0" borderId="8">
      <alignment vertical="top" wrapText="1"/>
    </xf>
    <xf numFmtId="0" fontId="108" fillId="95" borderId="39" applyNumberFormat="0" applyAlignment="0" applyProtection="0"/>
    <xf numFmtId="174" fontId="44" fillId="45" borderId="24" applyNumberFormat="0" applyAlignment="0" applyProtection="0"/>
    <xf numFmtId="174" fontId="44" fillId="44" borderId="24" applyNumberFormat="0" applyAlignment="0" applyProtection="0"/>
    <xf numFmtId="0" fontId="9" fillId="45" borderId="24" applyNumberFormat="0" applyAlignment="0" applyProtection="0"/>
    <xf numFmtId="0" fontId="9" fillId="45" borderId="24" applyNumberFormat="0" applyAlignment="0" applyProtection="0"/>
    <xf numFmtId="174" fontId="44" fillId="44" borderId="24" applyNumberFormat="0" applyAlignment="0" applyProtection="0"/>
    <xf numFmtId="0" fontId="9" fillId="45" borderId="24" applyNumberFormat="0" applyAlignment="0" applyProtection="0"/>
    <xf numFmtId="0" fontId="9" fillId="45" borderId="24" applyNumberFormat="0" applyAlignment="0" applyProtection="0"/>
    <xf numFmtId="174" fontId="44" fillId="44" borderId="24" applyNumberFormat="0" applyAlignment="0" applyProtection="0"/>
    <xf numFmtId="174" fontId="44" fillId="44" borderId="24" applyNumberFormat="0" applyAlignment="0" applyProtection="0"/>
    <xf numFmtId="174" fontId="44" fillId="44" borderId="24" applyNumberFormat="0" applyAlignment="0" applyProtection="0"/>
    <xf numFmtId="0" fontId="9" fillId="45" borderId="24" applyNumberFormat="0" applyAlignment="0" applyProtection="0"/>
    <xf numFmtId="0" fontId="9" fillId="45" borderId="24" applyNumberFormat="0" applyAlignment="0" applyProtection="0"/>
    <xf numFmtId="174" fontId="44" fillId="44" borderId="24" applyNumberFormat="0" applyAlignment="0" applyProtection="0"/>
    <xf numFmtId="0" fontId="9" fillId="45" borderId="24" applyNumberFormat="0" applyAlignment="0" applyProtection="0"/>
    <xf numFmtId="0" fontId="9" fillId="45" borderId="24" applyNumberFormat="0" applyAlignment="0" applyProtection="0"/>
    <xf numFmtId="0" fontId="9" fillId="45" borderId="24" applyNumberFormat="0" applyAlignment="0" applyProtection="0"/>
    <xf numFmtId="174" fontId="44" fillId="44" borderId="24" applyNumberFormat="0" applyAlignment="0" applyProtection="0"/>
    <xf numFmtId="0" fontId="9" fillId="45" borderId="24" applyNumberFormat="0" applyAlignment="0" applyProtection="0"/>
    <xf numFmtId="0" fontId="9" fillId="45" borderId="24" applyNumberFormat="0" applyAlignment="0" applyProtection="0"/>
    <xf numFmtId="174" fontId="44" fillId="45" borderId="24" applyNumberFormat="0" applyAlignment="0" applyProtection="0"/>
    <xf numFmtId="0" fontId="9" fillId="45" borderId="24" applyNumberFormat="0" applyAlignment="0" applyProtection="0"/>
    <xf numFmtId="0" fontId="9" fillId="45" borderId="24" applyNumberFormat="0" applyAlignment="0" applyProtection="0"/>
    <xf numFmtId="174" fontId="44" fillId="45" borderId="24" applyNumberFormat="0" applyAlignment="0" applyProtection="0"/>
    <xf numFmtId="174" fontId="44" fillId="45" borderId="24" applyNumberFormat="0" applyAlignment="0" applyProtection="0"/>
    <xf numFmtId="174" fontId="44" fillId="45" borderId="24" applyNumberFormat="0" applyAlignment="0" applyProtection="0"/>
    <xf numFmtId="0" fontId="108" fillId="95" borderId="39" applyNumberFormat="0" applyAlignment="0" applyProtection="0"/>
    <xf numFmtId="0" fontId="109" fillId="95" borderId="38" applyNumberFormat="0" applyAlignment="0" applyProtection="0"/>
    <xf numFmtId="0" fontId="110" fillId="95" borderId="38" applyNumberFormat="0" applyAlignment="0" applyProtection="0"/>
    <xf numFmtId="174" fontId="45" fillId="45" borderId="5" applyNumberFormat="0" applyAlignment="0" applyProtection="0"/>
    <xf numFmtId="174" fontId="45" fillId="44" borderId="5" applyNumberFormat="0" applyAlignment="0" applyProtection="0"/>
    <xf numFmtId="0" fontId="10" fillId="45" borderId="5" applyNumberFormat="0" applyAlignment="0" applyProtection="0"/>
    <xf numFmtId="0" fontId="10" fillId="45" borderId="5" applyNumberFormat="0" applyAlignment="0" applyProtection="0"/>
    <xf numFmtId="174" fontId="45" fillId="44" borderId="5" applyNumberFormat="0" applyAlignment="0" applyProtection="0"/>
    <xf numFmtId="0" fontId="10" fillId="45" borderId="5" applyNumberFormat="0" applyAlignment="0" applyProtection="0"/>
    <xf numFmtId="0" fontId="10" fillId="45" borderId="5" applyNumberFormat="0" applyAlignment="0" applyProtection="0"/>
    <xf numFmtId="174" fontId="45" fillId="44" borderId="5" applyNumberFormat="0" applyAlignment="0" applyProtection="0"/>
    <xf numFmtId="174" fontId="45" fillId="44" borderId="5" applyNumberFormat="0" applyAlignment="0" applyProtection="0"/>
    <xf numFmtId="174" fontId="45" fillId="44" borderId="5" applyNumberFormat="0" applyAlignment="0" applyProtection="0"/>
    <xf numFmtId="0" fontId="10" fillId="45" borderId="5" applyNumberFormat="0" applyAlignment="0" applyProtection="0"/>
    <xf numFmtId="0" fontId="10" fillId="45" borderId="5" applyNumberFormat="0" applyAlignment="0" applyProtection="0"/>
    <xf numFmtId="174" fontId="45" fillId="44" borderId="5" applyNumberFormat="0" applyAlignment="0" applyProtection="0"/>
    <xf numFmtId="0" fontId="10" fillId="45" borderId="5" applyNumberFormat="0" applyAlignment="0" applyProtection="0"/>
    <xf numFmtId="0" fontId="10" fillId="45" borderId="5" applyNumberFormat="0" applyAlignment="0" applyProtection="0"/>
    <xf numFmtId="0" fontId="10" fillId="45" borderId="5" applyNumberFormat="0" applyAlignment="0" applyProtection="0"/>
    <xf numFmtId="174" fontId="45" fillId="44" borderId="5" applyNumberFormat="0" applyAlignment="0" applyProtection="0"/>
    <xf numFmtId="0" fontId="10" fillId="45" borderId="5" applyNumberFormat="0" applyAlignment="0" applyProtection="0"/>
    <xf numFmtId="0" fontId="10" fillId="45" borderId="5" applyNumberFormat="0" applyAlignment="0" applyProtection="0"/>
    <xf numFmtId="174" fontId="45" fillId="45" borderId="5" applyNumberFormat="0" applyAlignment="0" applyProtection="0"/>
    <xf numFmtId="0" fontId="10" fillId="45" borderId="5" applyNumberFormat="0" applyAlignment="0" applyProtection="0"/>
    <xf numFmtId="0" fontId="10" fillId="45" borderId="5" applyNumberFormat="0" applyAlignment="0" applyProtection="0"/>
    <xf numFmtId="174" fontId="45" fillId="45" borderId="5" applyNumberFormat="0" applyAlignment="0" applyProtection="0"/>
    <xf numFmtId="174" fontId="45" fillId="45" borderId="5" applyNumberFormat="0" applyAlignment="0" applyProtection="0"/>
    <xf numFmtId="174" fontId="45" fillId="45" borderId="5" applyNumberFormat="0" applyAlignment="0" applyProtection="0"/>
    <xf numFmtId="0" fontId="109" fillId="95" borderId="38" applyNumberFormat="0" applyAlignment="0" applyProtection="0"/>
    <xf numFmtId="0" fontId="111" fillId="0" borderId="0" applyNumberFormat="0" applyFill="0" applyBorder="0" applyAlignment="0" applyProtection="0"/>
    <xf numFmtId="174" fontId="83" fillId="0" borderId="0" applyNumberFormat="0" applyFill="0" applyBorder="0" applyAlignment="0" applyProtection="0">
      <alignment vertical="top"/>
      <protection locked="0"/>
    </xf>
    <xf numFmtId="178" fontId="46" fillId="0" borderId="8">
      <alignment vertical="top" wrapText="1"/>
    </xf>
    <xf numFmtId="4" fontId="33" fillId="0" borderId="8">
      <alignment horizontal="left" vertical="center"/>
    </xf>
    <xf numFmtId="4" fontId="33" fillId="0" borderId="9">
      <alignment horizontal="left" vertical="center"/>
    </xf>
    <xf numFmtId="4" fontId="33" fillId="0" borderId="9">
      <alignment horizontal="left" vertical="center"/>
    </xf>
    <xf numFmtId="4" fontId="33" fillId="0" borderId="9">
      <alignment horizontal="left" vertical="center"/>
    </xf>
    <xf numFmtId="4" fontId="33" fillId="0" borderId="8"/>
    <xf numFmtId="4" fontId="33" fillId="0" borderId="9"/>
    <xf numFmtId="4" fontId="33" fillId="0" borderId="9"/>
    <xf numFmtId="4" fontId="33" fillId="0" borderId="9"/>
    <xf numFmtId="4" fontId="33" fillId="70" borderId="8"/>
    <xf numFmtId="4" fontId="33" fillId="71" borderId="9"/>
    <xf numFmtId="4" fontId="33" fillId="71" borderId="9"/>
    <xf numFmtId="4" fontId="33" fillId="71" borderId="9"/>
    <xf numFmtId="4" fontId="33" fillId="72" borderId="8"/>
    <xf numFmtId="4" fontId="33" fillId="73" borderId="9"/>
    <xf numFmtId="4" fontId="33" fillId="73" borderId="9"/>
    <xf numFmtId="4" fontId="33" fillId="73" borderId="9"/>
    <xf numFmtId="4" fontId="28" fillId="74" borderId="8"/>
    <xf numFmtId="4" fontId="28" fillId="15" borderId="9"/>
    <xf numFmtId="4" fontId="28" fillId="15" borderId="9"/>
    <xf numFmtId="4" fontId="28" fillId="15" borderId="9"/>
    <xf numFmtId="178" fontId="46" fillId="0" borderId="9">
      <alignment vertical="top" wrapText="1"/>
    </xf>
    <xf numFmtId="178" fontId="46" fillId="0" borderId="9">
      <alignment vertical="top" wrapText="1"/>
    </xf>
    <xf numFmtId="178" fontId="46" fillId="0" borderId="9">
      <alignment vertical="top" wrapText="1"/>
    </xf>
    <xf numFmtId="189" fontId="6" fillId="0" borderId="8">
      <alignment vertical="top" wrapText="1"/>
    </xf>
    <xf numFmtId="14" fontId="47" fillId="0" borderId="0"/>
    <xf numFmtId="14" fontId="81" fillId="0" borderId="0"/>
    <xf numFmtId="14" fontId="81" fillId="0" borderId="0"/>
    <xf numFmtId="14" fontId="81" fillId="0" borderId="0"/>
    <xf numFmtId="14" fontId="87" fillId="0" borderId="0" applyFont="0" applyFill="0" applyBorder="0" applyAlignment="0" applyProtection="0"/>
    <xf numFmtId="14" fontId="87" fillId="0" borderId="0" applyFont="0" applyFill="0" applyBorder="0" applyAlignment="0" applyProtection="0"/>
    <xf numFmtId="170" fontId="5" fillId="0" borderId="0" applyFont="0" applyFill="0" applyBorder="0" applyAlignment="0" applyProtection="0"/>
    <xf numFmtId="212" fontId="27" fillId="0" borderId="0" applyFill="0" applyBorder="0" applyAlignment="0" applyProtection="0"/>
    <xf numFmtId="212" fontId="27" fillId="0" borderId="0" applyFill="0" applyBorder="0" applyAlignment="0" applyProtection="0"/>
    <xf numFmtId="212" fontId="27" fillId="0" borderId="0" applyFill="0" applyBorder="0" applyAlignment="0" applyProtection="0"/>
    <xf numFmtId="167" fontId="82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48" fillId="74" borderId="0" applyNumberFormat="0"/>
    <xf numFmtId="174" fontId="49" fillId="0" borderId="14" applyNumberFormat="0" applyFill="0" applyAlignment="0" applyProtection="0"/>
    <xf numFmtId="0" fontId="112" fillId="0" borderId="40" applyNumberFormat="0" applyFill="0" applyAlignment="0" applyProtection="0"/>
    <xf numFmtId="174" fontId="49" fillId="0" borderId="14" applyNumberFormat="0" applyFill="0" applyAlignment="0" applyProtection="0"/>
    <xf numFmtId="174" fontId="48" fillId="15" borderId="0" applyNumberFormat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174" fontId="48" fillId="15" borderId="0" applyNumberFormat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174" fontId="48" fillId="15" borderId="0" applyNumberFormat="0"/>
    <xf numFmtId="174" fontId="48" fillId="15" borderId="0" applyNumberFormat="0"/>
    <xf numFmtId="174" fontId="48" fillId="15" borderId="0" applyNumberFormat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174" fontId="48" fillId="15" borderId="0" applyNumberFormat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174" fontId="48" fillId="15" borderId="0" applyNumberFormat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174" fontId="49" fillId="0" borderId="14" applyNumberFormat="0" applyFill="0" applyAlignment="0" applyProtection="0"/>
    <xf numFmtId="0" fontId="11" fillId="0" borderId="14" applyNumberFormat="0" applyFill="0" applyAlignment="0" applyProtection="0"/>
    <xf numFmtId="0" fontId="11" fillId="0" borderId="14" applyNumberFormat="0" applyFill="0" applyAlignment="0" applyProtection="0"/>
    <xf numFmtId="174" fontId="49" fillId="0" borderId="14" applyNumberFormat="0" applyFill="0" applyAlignment="0" applyProtection="0"/>
    <xf numFmtId="174" fontId="49" fillId="0" borderId="14" applyNumberFormat="0" applyFill="0" applyAlignment="0" applyProtection="0"/>
    <xf numFmtId="174" fontId="49" fillId="0" borderId="14" applyNumberFormat="0" applyFill="0" applyAlignment="0" applyProtection="0"/>
    <xf numFmtId="0" fontId="112" fillId="0" borderId="40" applyNumberFormat="0" applyFill="0" applyAlignment="0" applyProtection="0"/>
    <xf numFmtId="174" fontId="50" fillId="0" borderId="15" applyNumberFormat="0" applyFill="0" applyAlignment="0" applyProtection="0"/>
    <xf numFmtId="0" fontId="12" fillId="0" borderId="15" applyNumberFormat="0" applyFill="0" applyAlignment="0" applyProtection="0"/>
    <xf numFmtId="0" fontId="12" fillId="0" borderId="15" applyNumberFormat="0" applyFill="0" applyAlignment="0" applyProtection="0"/>
    <xf numFmtId="0" fontId="12" fillId="0" borderId="15" applyNumberFormat="0" applyFill="0" applyAlignment="0" applyProtection="0"/>
    <xf numFmtId="174" fontId="50" fillId="0" borderId="15" applyNumberFormat="0" applyFill="0" applyAlignment="0" applyProtection="0"/>
    <xf numFmtId="0" fontId="12" fillId="0" borderId="15" applyNumberFormat="0" applyFill="0" applyAlignment="0" applyProtection="0"/>
    <xf numFmtId="0" fontId="12" fillId="0" borderId="15" applyNumberFormat="0" applyFill="0" applyAlignment="0" applyProtection="0"/>
    <xf numFmtId="0" fontId="12" fillId="0" borderId="15" applyNumberFormat="0" applyFill="0" applyAlignment="0" applyProtection="0"/>
    <xf numFmtId="174" fontId="50" fillId="0" borderId="15" applyNumberFormat="0" applyFill="0" applyAlignment="0" applyProtection="0"/>
    <xf numFmtId="0" fontId="12" fillId="0" borderId="15" applyNumberFormat="0" applyFill="0" applyAlignment="0" applyProtection="0"/>
    <xf numFmtId="0" fontId="12" fillId="0" borderId="15" applyNumberFormat="0" applyFill="0" applyAlignment="0" applyProtection="0"/>
    <xf numFmtId="174" fontId="50" fillId="0" borderId="15" applyNumberFormat="0" applyFill="0" applyAlignment="0" applyProtection="0"/>
    <xf numFmtId="0" fontId="12" fillId="0" borderId="15" applyNumberFormat="0" applyFill="0" applyAlignment="0" applyProtection="0"/>
    <xf numFmtId="0" fontId="12" fillId="0" borderId="15" applyNumberFormat="0" applyFill="0" applyAlignment="0" applyProtection="0"/>
    <xf numFmtId="174" fontId="50" fillId="0" borderId="15" applyNumberFormat="0" applyFill="0" applyAlignment="0" applyProtection="0"/>
    <xf numFmtId="0" fontId="113" fillId="0" borderId="41" applyNumberFormat="0" applyFill="0" applyAlignment="0" applyProtection="0"/>
    <xf numFmtId="0" fontId="113" fillId="0" borderId="41" applyNumberFormat="0" applyFill="0" applyAlignment="0" applyProtection="0"/>
    <xf numFmtId="0" fontId="114" fillId="0" borderId="41" applyNumberFormat="0" applyFill="0" applyAlignment="0" applyProtection="0"/>
    <xf numFmtId="174" fontId="51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174" fontId="51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174" fontId="51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174" fontId="51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174" fontId="51" fillId="0" borderId="16" applyNumberFormat="0" applyFill="0" applyAlignment="0" applyProtection="0"/>
    <xf numFmtId="0" fontId="115" fillId="0" borderId="42" applyNumberFormat="0" applyFill="0" applyAlignment="0" applyProtection="0"/>
    <xf numFmtId="0" fontId="115" fillId="0" borderId="42" applyNumberFormat="0" applyFill="0" applyAlignment="0" applyProtection="0"/>
    <xf numFmtId="0" fontId="116" fillId="0" borderId="42" applyNumberFormat="0" applyFill="0" applyAlignment="0" applyProtection="0"/>
    <xf numFmtId="174" fontId="5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4" fontId="5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4" fontId="5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4" fontId="5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4" fontId="51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74" fontId="52" fillId="0" borderId="31" applyNumberFormat="0" applyFill="0" applyAlignment="0" applyProtection="0"/>
    <xf numFmtId="0" fontId="14" fillId="0" borderId="31" applyNumberFormat="0" applyFill="0" applyAlignment="0" applyProtection="0"/>
    <xf numFmtId="0" fontId="14" fillId="0" borderId="31" applyNumberFormat="0" applyFill="0" applyAlignment="0" applyProtection="0"/>
    <xf numFmtId="0" fontId="14" fillId="0" borderId="31" applyNumberFormat="0" applyFill="0" applyAlignment="0" applyProtection="0"/>
    <xf numFmtId="174" fontId="52" fillId="0" borderId="31" applyNumberFormat="0" applyFill="0" applyAlignment="0" applyProtection="0"/>
    <xf numFmtId="0" fontId="14" fillId="0" borderId="31" applyNumberFormat="0" applyFill="0" applyAlignment="0" applyProtection="0"/>
    <xf numFmtId="0" fontId="14" fillId="0" borderId="31" applyNumberFormat="0" applyFill="0" applyAlignment="0" applyProtection="0"/>
    <xf numFmtId="0" fontId="14" fillId="0" borderId="31" applyNumberFormat="0" applyFill="0" applyAlignment="0" applyProtection="0"/>
    <xf numFmtId="174" fontId="52" fillId="0" borderId="31" applyNumberFormat="0" applyFill="0" applyAlignment="0" applyProtection="0"/>
    <xf numFmtId="0" fontId="14" fillId="0" borderId="31" applyNumberFormat="0" applyFill="0" applyAlignment="0" applyProtection="0"/>
    <xf numFmtId="0" fontId="14" fillId="0" borderId="31" applyNumberFormat="0" applyFill="0" applyAlignment="0" applyProtection="0"/>
    <xf numFmtId="174" fontId="52" fillId="0" borderId="31" applyNumberFormat="0" applyFill="0" applyAlignment="0" applyProtection="0"/>
    <xf numFmtId="0" fontId="14" fillId="0" borderId="31" applyNumberFormat="0" applyFill="0" applyAlignment="0" applyProtection="0"/>
    <xf numFmtId="0" fontId="14" fillId="0" borderId="31" applyNumberFormat="0" applyFill="0" applyAlignment="0" applyProtection="0"/>
    <xf numFmtId="174" fontId="52" fillId="0" borderId="31" applyNumberFormat="0" applyFill="0" applyAlignment="0" applyProtection="0"/>
    <xf numFmtId="0" fontId="117" fillId="0" borderId="43" applyNumberFormat="0" applyFill="0" applyAlignment="0" applyProtection="0"/>
    <xf numFmtId="0" fontId="117" fillId="0" borderId="43" applyNumberFormat="0" applyFill="0" applyAlignment="0" applyProtection="0"/>
    <xf numFmtId="0" fontId="118" fillId="0" borderId="43" applyNumberFormat="0" applyFill="0" applyAlignment="0" applyProtection="0"/>
    <xf numFmtId="175" fontId="53" fillId="0" borderId="8"/>
    <xf numFmtId="175" fontId="53" fillId="0" borderId="9"/>
    <xf numFmtId="175" fontId="53" fillId="0" borderId="9"/>
    <xf numFmtId="175" fontId="53" fillId="0" borderId="9"/>
    <xf numFmtId="0" fontId="119" fillId="96" borderId="44" applyNumberFormat="0" applyAlignment="0" applyProtection="0"/>
    <xf numFmtId="174" fontId="54" fillId="46" borderId="6" applyNumberFormat="0" applyAlignment="0" applyProtection="0"/>
    <xf numFmtId="174" fontId="54" fillId="47" borderId="6" applyNumberFormat="0" applyAlignment="0" applyProtection="0"/>
    <xf numFmtId="0" fontId="15" fillId="46" borderId="6" applyNumberFormat="0" applyAlignment="0" applyProtection="0"/>
    <xf numFmtId="0" fontId="15" fillId="46" borderId="6" applyNumberFormat="0" applyAlignment="0" applyProtection="0"/>
    <xf numFmtId="174" fontId="54" fillId="47" borderId="6" applyNumberFormat="0" applyAlignment="0" applyProtection="0"/>
    <xf numFmtId="0" fontId="15" fillId="46" borderId="6" applyNumberFormat="0" applyAlignment="0" applyProtection="0"/>
    <xf numFmtId="0" fontId="15" fillId="46" borderId="6" applyNumberFormat="0" applyAlignment="0" applyProtection="0"/>
    <xf numFmtId="174" fontId="54" fillId="47" borderId="6" applyNumberFormat="0" applyAlignment="0" applyProtection="0"/>
    <xf numFmtId="174" fontId="54" fillId="47" borderId="6" applyNumberFormat="0" applyAlignment="0" applyProtection="0"/>
    <xf numFmtId="174" fontId="54" fillId="47" borderId="6" applyNumberFormat="0" applyAlignment="0" applyProtection="0"/>
    <xf numFmtId="0" fontId="15" fillId="46" borderId="6" applyNumberFormat="0" applyAlignment="0" applyProtection="0"/>
    <xf numFmtId="0" fontId="15" fillId="46" borderId="6" applyNumberFormat="0" applyAlignment="0" applyProtection="0"/>
    <xf numFmtId="174" fontId="54" fillId="47" borderId="6" applyNumberFormat="0" applyAlignment="0" applyProtection="0"/>
    <xf numFmtId="0" fontId="15" fillId="46" borderId="6" applyNumberFormat="0" applyAlignment="0" applyProtection="0"/>
    <xf numFmtId="0" fontId="15" fillId="46" borderId="6" applyNumberFormat="0" applyAlignment="0" applyProtection="0"/>
    <xf numFmtId="0" fontId="15" fillId="46" borderId="6" applyNumberFormat="0" applyAlignment="0" applyProtection="0"/>
    <xf numFmtId="174" fontId="54" fillId="47" borderId="6" applyNumberFormat="0" applyAlignment="0" applyProtection="0"/>
    <xf numFmtId="0" fontId="15" fillId="46" borderId="6" applyNumberFormat="0" applyAlignment="0" applyProtection="0"/>
    <xf numFmtId="0" fontId="15" fillId="46" borderId="6" applyNumberFormat="0" applyAlignment="0" applyProtection="0"/>
    <xf numFmtId="174" fontId="54" fillId="46" borderId="6" applyNumberFormat="0" applyAlignment="0" applyProtection="0"/>
    <xf numFmtId="0" fontId="15" fillId="46" borderId="6" applyNumberFormat="0" applyAlignment="0" applyProtection="0"/>
    <xf numFmtId="0" fontId="15" fillId="46" borderId="6" applyNumberFormat="0" applyAlignment="0" applyProtection="0"/>
    <xf numFmtId="174" fontId="54" fillId="46" borderId="6" applyNumberFormat="0" applyAlignment="0" applyProtection="0"/>
    <xf numFmtId="174" fontId="54" fillId="46" borderId="6" applyNumberFormat="0" applyAlignment="0" applyProtection="0"/>
    <xf numFmtId="174" fontId="54" fillId="46" borderId="6" applyNumberFormat="0" applyAlignment="0" applyProtection="0"/>
    <xf numFmtId="0" fontId="119" fillId="96" borderId="44" applyNumberFormat="0" applyAlignment="0" applyProtection="0"/>
    <xf numFmtId="0" fontId="120" fillId="0" borderId="0" applyNumberFormat="0" applyFill="0" applyBorder="0" applyAlignment="0" applyProtection="0"/>
    <xf numFmtId="174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4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4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4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4" fontId="16" fillId="0" borderId="0" applyNumberFormat="0" applyFill="0" applyBorder="0" applyAlignment="0" applyProtection="0"/>
    <xf numFmtId="164" fontId="25" fillId="0" borderId="0"/>
    <xf numFmtId="0" fontId="121" fillId="97" borderId="0" applyNumberFormat="0" applyBorder="0" applyAlignment="0" applyProtection="0"/>
    <xf numFmtId="174" fontId="55" fillId="58" borderId="0" applyNumberFormat="0" applyBorder="0" applyAlignment="0" applyProtection="0"/>
    <xf numFmtId="174" fontId="55" fillId="3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174" fontId="55" fillId="3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174" fontId="55" fillId="3" borderId="0" applyNumberFormat="0" applyBorder="0" applyAlignment="0" applyProtection="0"/>
    <xf numFmtId="174" fontId="55" fillId="3" borderId="0" applyNumberFormat="0" applyBorder="0" applyAlignment="0" applyProtection="0"/>
    <xf numFmtId="174" fontId="55" fillId="3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174" fontId="55" fillId="3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174" fontId="55" fillId="3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174" fontId="55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174" fontId="55" fillId="58" borderId="0" applyNumberFormat="0" applyBorder="0" applyAlignment="0" applyProtection="0"/>
    <xf numFmtId="174" fontId="55" fillId="58" borderId="0" applyNumberFormat="0" applyBorder="0" applyAlignment="0" applyProtection="0"/>
    <xf numFmtId="174" fontId="55" fillId="58" borderId="0" applyNumberFormat="0" applyBorder="0" applyAlignment="0" applyProtection="0"/>
    <xf numFmtId="0" fontId="121" fillId="97" borderId="0" applyNumberFormat="0" applyBorder="0" applyAlignment="0" applyProtection="0"/>
    <xf numFmtId="49" fontId="43" fillId="0" borderId="8">
      <alignment horizontal="right" vertical="top" wrapText="1"/>
    </xf>
    <xf numFmtId="49" fontId="43" fillId="0" borderId="9">
      <alignment horizontal="right" vertical="top" wrapText="1"/>
    </xf>
    <xf numFmtId="49" fontId="43" fillId="0" borderId="9">
      <alignment horizontal="right" vertical="top" wrapText="1"/>
    </xf>
    <xf numFmtId="49" fontId="43" fillId="0" borderId="9">
      <alignment horizontal="right" vertical="top" wrapText="1"/>
    </xf>
    <xf numFmtId="172" fontId="56" fillId="0" borderId="0">
      <alignment horizontal="right" vertical="top" wrapText="1"/>
    </xf>
    <xf numFmtId="0" fontId="1" fillId="0" borderId="0"/>
    <xf numFmtId="0" fontId="6" fillId="0" borderId="0"/>
    <xf numFmtId="0" fontId="6" fillId="0" borderId="0"/>
    <xf numFmtId="0" fontId="103" fillId="0" borderId="0"/>
    <xf numFmtId="0" fontId="6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6" fillId="0" borderId="0"/>
    <xf numFmtId="0" fontId="10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102" fillId="0" borderId="0"/>
    <xf numFmtId="0" fontId="122" fillId="0" borderId="0"/>
    <xf numFmtId="0" fontId="5" fillId="0" borderId="0"/>
    <xf numFmtId="0" fontId="6" fillId="0" borderId="0"/>
    <xf numFmtId="0" fontId="6" fillId="0" borderId="0"/>
    <xf numFmtId="174" fontId="6" fillId="0" borderId="0"/>
    <xf numFmtId="174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92" fillId="0" borderId="0">
      <alignment horizontal="left"/>
    </xf>
    <xf numFmtId="174" fontId="5" fillId="0" borderId="0"/>
    <xf numFmtId="0" fontId="5" fillId="0" borderId="0"/>
    <xf numFmtId="0" fontId="5" fillId="0" borderId="0"/>
    <xf numFmtId="174" fontId="5" fillId="0" borderId="0"/>
    <xf numFmtId="0" fontId="5" fillId="0" borderId="0"/>
    <xf numFmtId="0" fontId="5" fillId="0" borderId="0"/>
    <xf numFmtId="0" fontId="102" fillId="0" borderId="0"/>
    <xf numFmtId="174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4" fontId="5" fillId="0" borderId="0"/>
    <xf numFmtId="0" fontId="6" fillId="0" borderId="0"/>
    <xf numFmtId="0" fontId="6" fillId="0" borderId="0"/>
    <xf numFmtId="174" fontId="5" fillId="0" borderId="0"/>
    <xf numFmtId="0" fontId="6" fillId="0" borderId="0"/>
    <xf numFmtId="0" fontId="6" fillId="0" borderId="0"/>
    <xf numFmtId="174" fontId="5" fillId="0" borderId="0"/>
    <xf numFmtId="0" fontId="6" fillId="0" borderId="0"/>
    <xf numFmtId="0" fontId="6" fillId="0" borderId="0"/>
    <xf numFmtId="174" fontId="102" fillId="0" borderId="0"/>
    <xf numFmtId="0" fontId="6" fillId="0" borderId="0"/>
    <xf numFmtId="0" fontId="6" fillId="0" borderId="0"/>
    <xf numFmtId="0" fontId="6" fillId="0" borderId="0"/>
    <xf numFmtId="0" fontId="104" fillId="0" borderId="0"/>
    <xf numFmtId="174" fontId="102" fillId="0" borderId="0"/>
    <xf numFmtId="174" fontId="102" fillId="0" borderId="0"/>
    <xf numFmtId="0" fontId="6" fillId="0" borderId="0"/>
    <xf numFmtId="0" fontId="94" fillId="0" borderId="0"/>
    <xf numFmtId="0" fontId="123" fillId="0" borderId="0"/>
    <xf numFmtId="17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/>
    <xf numFmtId="174" fontId="102" fillId="0" borderId="0"/>
    <xf numFmtId="0" fontId="6" fillId="0" borderId="0"/>
    <xf numFmtId="0" fontId="6" fillId="0" borderId="0"/>
    <xf numFmtId="174" fontId="124" fillId="0" borderId="0"/>
    <xf numFmtId="0" fontId="6" fillId="0" borderId="0"/>
    <xf numFmtId="0" fontId="6" fillId="0" borderId="0"/>
    <xf numFmtId="174" fontId="6" fillId="0" borderId="0"/>
    <xf numFmtId="0" fontId="6" fillId="0" borderId="0"/>
    <xf numFmtId="0" fontId="6" fillId="0" borderId="0"/>
    <xf numFmtId="174" fontId="6" fillId="0" borderId="0"/>
    <xf numFmtId="0" fontId="6" fillId="0" borderId="0"/>
    <xf numFmtId="0" fontId="6" fillId="0" borderId="0"/>
    <xf numFmtId="0" fontId="102" fillId="0" borderId="0"/>
    <xf numFmtId="0" fontId="6" fillId="0" borderId="0"/>
    <xf numFmtId="0" fontId="6" fillId="0" borderId="0"/>
    <xf numFmtId="174" fontId="5" fillId="0" borderId="0"/>
    <xf numFmtId="0" fontId="6" fillId="0" borderId="0"/>
    <xf numFmtId="0" fontId="27" fillId="0" borderId="0"/>
    <xf numFmtId="0" fontId="125" fillId="98" borderId="0" applyNumberFormat="0" applyBorder="0" applyAlignment="0" applyProtection="0"/>
    <xf numFmtId="174" fontId="57" fillId="9" borderId="0" applyNumberFormat="0" applyBorder="0" applyAlignment="0" applyProtection="0"/>
    <xf numFmtId="174" fontId="57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174" fontId="57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174" fontId="57" fillId="10" borderId="0" applyNumberFormat="0" applyBorder="0" applyAlignment="0" applyProtection="0"/>
    <xf numFmtId="174" fontId="57" fillId="10" borderId="0" applyNumberFormat="0" applyBorder="0" applyAlignment="0" applyProtection="0"/>
    <xf numFmtId="174" fontId="57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174" fontId="57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174" fontId="57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174" fontId="57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174" fontId="57" fillId="9" borderId="0" applyNumberFormat="0" applyBorder="0" applyAlignment="0" applyProtection="0"/>
    <xf numFmtId="174" fontId="57" fillId="9" borderId="0" applyNumberFormat="0" applyBorder="0" applyAlignment="0" applyProtection="0"/>
    <xf numFmtId="174" fontId="57" fillId="9" borderId="0" applyNumberFormat="0" applyBorder="0" applyAlignment="0" applyProtection="0"/>
    <xf numFmtId="0" fontId="125" fillId="98" borderId="0" applyNumberFormat="0" applyBorder="0" applyAlignment="0" applyProtection="0"/>
    <xf numFmtId="178" fontId="34" fillId="0" borderId="8">
      <alignment vertical="top"/>
    </xf>
    <xf numFmtId="178" fontId="34" fillId="0" borderId="9">
      <alignment vertical="top"/>
    </xf>
    <xf numFmtId="178" fontId="34" fillId="0" borderId="9">
      <alignment vertical="top"/>
    </xf>
    <xf numFmtId="178" fontId="34" fillId="0" borderId="9">
      <alignment vertical="top"/>
    </xf>
    <xf numFmtId="174" fontId="5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84" fillId="99" borderId="45" applyNumberFormat="0" applyFont="0" applyAlignment="0" applyProtection="0"/>
    <xf numFmtId="174" fontId="6" fillId="59" borderId="23" applyNumberFormat="0" applyFont="0" applyAlignment="0" applyProtection="0"/>
    <xf numFmtId="174" fontId="27" fillId="53" borderId="23" applyNumberFormat="0" applyAlignment="0" applyProtection="0"/>
    <xf numFmtId="0" fontId="6" fillId="59" borderId="23" applyNumberFormat="0" applyFont="0" applyAlignment="0" applyProtection="0"/>
    <xf numFmtId="0" fontId="6" fillId="59" borderId="23" applyNumberFormat="0" applyFont="0" applyAlignment="0" applyProtection="0"/>
    <xf numFmtId="174" fontId="27" fillId="53" borderId="23" applyNumberFormat="0" applyAlignment="0" applyProtection="0"/>
    <xf numFmtId="0" fontId="6" fillId="59" borderId="23" applyNumberFormat="0" applyFont="0" applyAlignment="0" applyProtection="0"/>
    <xf numFmtId="0" fontId="6" fillId="59" borderId="23" applyNumberFormat="0" applyFont="0" applyAlignment="0" applyProtection="0"/>
    <xf numFmtId="174" fontId="27" fillId="53" borderId="23" applyNumberFormat="0" applyAlignment="0" applyProtection="0"/>
    <xf numFmtId="174" fontId="27" fillId="53" borderId="23" applyNumberFormat="0" applyAlignment="0" applyProtection="0"/>
    <xf numFmtId="174" fontId="27" fillId="53" borderId="23" applyNumberFormat="0" applyAlignment="0" applyProtection="0"/>
    <xf numFmtId="0" fontId="6" fillId="59" borderId="23" applyNumberFormat="0" applyFont="0" applyAlignment="0" applyProtection="0"/>
    <xf numFmtId="0" fontId="6" fillId="59" borderId="23" applyNumberFormat="0" applyFont="0" applyAlignment="0" applyProtection="0"/>
    <xf numFmtId="174" fontId="27" fillId="53" borderId="23" applyNumberFormat="0" applyAlignment="0" applyProtection="0"/>
    <xf numFmtId="0" fontId="6" fillId="59" borderId="23" applyNumberFormat="0" applyFont="0" applyAlignment="0" applyProtection="0"/>
    <xf numFmtId="0" fontId="6" fillId="59" borderId="23" applyNumberFormat="0" applyFont="0" applyAlignment="0" applyProtection="0"/>
    <xf numFmtId="0" fontId="6" fillId="59" borderId="23" applyNumberFormat="0" applyFont="0" applyAlignment="0" applyProtection="0"/>
    <xf numFmtId="174" fontId="27" fillId="53" borderId="23" applyNumberFormat="0" applyAlignment="0" applyProtection="0"/>
    <xf numFmtId="0" fontId="6" fillId="59" borderId="23" applyNumberFormat="0" applyFont="0" applyAlignment="0" applyProtection="0"/>
    <xf numFmtId="0" fontId="6" fillId="59" borderId="23" applyNumberFormat="0" applyFont="0" applyAlignment="0" applyProtection="0"/>
    <xf numFmtId="174" fontId="6" fillId="59" borderId="23" applyNumberFormat="0" applyFont="0" applyAlignment="0" applyProtection="0"/>
    <xf numFmtId="0" fontId="6" fillId="59" borderId="23" applyNumberFormat="0" applyFont="0" applyAlignment="0" applyProtection="0"/>
    <xf numFmtId="0" fontId="6" fillId="59" borderId="23" applyNumberFormat="0" applyFont="0" applyAlignment="0" applyProtection="0"/>
    <xf numFmtId="174" fontId="6" fillId="59" borderId="23" applyNumberFormat="0" applyFont="0" applyAlignment="0" applyProtection="0"/>
    <xf numFmtId="174" fontId="6" fillId="59" borderId="23" applyNumberFormat="0" applyFont="0" applyAlignment="0" applyProtection="0"/>
    <xf numFmtId="174" fontId="6" fillId="59" borderId="23" applyNumberFormat="0" applyFont="0" applyAlignment="0" applyProtection="0"/>
    <xf numFmtId="0" fontId="84" fillId="99" borderId="45" applyNumberFormat="0" applyFont="0" applyAlignment="0" applyProtection="0"/>
    <xf numFmtId="49" fontId="28" fillId="0" borderId="1">
      <alignment horizontal="left" vertical="center"/>
    </xf>
    <xf numFmtId="49" fontId="28" fillId="0" borderId="2">
      <alignment horizontal="left" vertical="center"/>
    </xf>
    <xf numFmtId="49" fontId="28" fillId="0" borderId="2">
      <alignment horizontal="left" vertical="center"/>
    </xf>
    <xf numFmtId="49" fontId="28" fillId="0" borderId="2">
      <alignment horizontal="left" vertical="center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ill="0" applyBorder="0" applyAlignment="0" applyProtection="0"/>
    <xf numFmtId="175" fontId="59" fillId="0" borderId="8"/>
    <xf numFmtId="175" fontId="59" fillId="0" borderId="9"/>
    <xf numFmtId="175" fontId="59" fillId="0" borderId="9"/>
    <xf numFmtId="175" fontId="59" fillId="0" borderId="9"/>
    <xf numFmtId="3" fontId="60" fillId="75" borderId="1">
      <alignment horizontal="justify" vertical="center"/>
    </xf>
    <xf numFmtId="3" fontId="60" fillId="76" borderId="2">
      <alignment horizontal="justify" vertical="center"/>
    </xf>
    <xf numFmtId="3" fontId="60" fillId="76" borderId="2">
      <alignment horizontal="justify" vertical="center"/>
    </xf>
    <xf numFmtId="3" fontId="60" fillId="76" borderId="2">
      <alignment horizontal="justify" vertical="center"/>
    </xf>
    <xf numFmtId="174" fontId="61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174" fontId="61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174" fontId="61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174" fontId="61" fillId="0" borderId="19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174" fontId="61" fillId="0" borderId="19" applyNumberFormat="0" applyFill="0" applyAlignment="0" applyProtection="0"/>
    <xf numFmtId="0" fontId="127" fillId="0" borderId="46" applyNumberFormat="0" applyFill="0" applyAlignment="0" applyProtection="0"/>
    <xf numFmtId="0" fontId="127" fillId="0" borderId="46" applyNumberFormat="0" applyFill="0" applyAlignment="0" applyProtection="0"/>
    <xf numFmtId="174" fontId="62" fillId="0" borderId="0"/>
    <xf numFmtId="174" fontId="68" fillId="0" borderId="0"/>
    <xf numFmtId="174" fontId="68" fillId="0" borderId="0"/>
    <xf numFmtId="174" fontId="68" fillId="0" borderId="0"/>
    <xf numFmtId="0" fontId="85" fillId="0" borderId="0"/>
    <xf numFmtId="0" fontId="85" fillId="0" borderId="0"/>
    <xf numFmtId="0" fontId="68" fillId="0" borderId="0"/>
    <xf numFmtId="49" fontId="27" fillId="0" borderId="8" applyNumberFormat="0" applyFill="0" applyAlignment="0" applyProtection="0"/>
    <xf numFmtId="174" fontId="27" fillId="0" borderId="9" applyNumberFormat="0" applyFill="0" applyAlignment="0" applyProtection="0"/>
    <xf numFmtId="174" fontId="27" fillId="0" borderId="9" applyNumberFormat="0" applyFill="0" applyAlignment="0" applyProtection="0"/>
    <xf numFmtId="174" fontId="27" fillId="0" borderId="9" applyNumberFormat="0" applyFill="0" applyAlignment="0" applyProtection="0"/>
    <xf numFmtId="49" fontId="28" fillId="0" borderId="8" applyNumberFormat="0" applyFill="0" applyAlignment="0" applyProtection="0"/>
    <xf numFmtId="174" fontId="28" fillId="0" borderId="9" applyNumberFormat="0" applyFill="0" applyAlignment="0" applyProtection="0"/>
    <xf numFmtId="174" fontId="28" fillId="0" borderId="9" applyNumberFormat="0" applyFill="0" applyAlignment="0" applyProtection="0"/>
    <xf numFmtId="174" fontId="28" fillId="0" borderId="9" applyNumberFormat="0" applyFill="0" applyAlignment="0" applyProtection="0"/>
    <xf numFmtId="174" fontId="6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6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6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6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63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38" fontId="91" fillId="0" borderId="0" applyFont="0" applyFill="0" applyBorder="0" applyAlignment="0" applyProtection="0"/>
    <xf numFmtId="40" fontId="91" fillId="0" borderId="0" applyFont="0" applyFill="0" applyBorder="0" applyAlignment="0" applyProtection="0"/>
    <xf numFmtId="166" fontId="6" fillId="0" borderId="0" applyFont="0" applyFill="0" applyBorder="0" applyAlignment="0" applyProtection="0"/>
    <xf numFmtId="214" fontId="27" fillId="0" borderId="0" applyFill="0" applyBorder="0" applyAlignment="0" applyProtection="0"/>
    <xf numFmtId="214" fontId="27" fillId="0" borderId="0" applyFill="0" applyBorder="0" applyAlignment="0" applyProtection="0"/>
    <xf numFmtId="214" fontId="27" fillId="0" borderId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9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18" fontId="27" fillId="0" borderId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5" fillId="0" borderId="0" applyFont="0" applyFill="0" applyBorder="0" applyAlignment="0" applyProtection="0"/>
    <xf numFmtId="218" fontId="27" fillId="0" borderId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18" fontId="27" fillId="0" borderId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15" fontId="27" fillId="0" borderId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15" fontId="27" fillId="0" borderId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15" fontId="27" fillId="0" borderId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95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9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129" fillId="100" borderId="0" applyNumberFormat="0" applyBorder="0" applyAlignment="0" applyProtection="0"/>
    <xf numFmtId="174" fontId="64" fillId="11" borderId="0" applyNumberFormat="0" applyBorder="0" applyAlignment="0" applyProtection="0"/>
    <xf numFmtId="174" fontId="64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74" fontId="64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74" fontId="64" fillId="5" borderId="0" applyNumberFormat="0" applyBorder="0" applyAlignment="0" applyProtection="0"/>
    <xf numFmtId="174" fontId="64" fillId="5" borderId="0" applyNumberFormat="0" applyBorder="0" applyAlignment="0" applyProtection="0"/>
    <xf numFmtId="174" fontId="64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74" fontId="64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74" fontId="64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74" fontId="64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174" fontId="64" fillId="11" borderId="0" applyNumberFormat="0" applyBorder="0" applyAlignment="0" applyProtection="0"/>
    <xf numFmtId="174" fontId="64" fillId="11" borderId="0" applyNumberFormat="0" applyBorder="0" applyAlignment="0" applyProtection="0"/>
    <xf numFmtId="174" fontId="64" fillId="11" borderId="0" applyNumberFormat="0" applyBorder="0" applyAlignment="0" applyProtection="0"/>
    <xf numFmtId="0" fontId="129" fillId="100" borderId="0" applyNumberFormat="0" applyBorder="0" applyAlignment="0" applyProtection="0"/>
    <xf numFmtId="177" fontId="27" fillId="0" borderId="1">
      <alignment vertical="top" wrapText="1"/>
    </xf>
    <xf numFmtId="49" fontId="46" fillId="0" borderId="8">
      <alignment horizontal="center" vertical="center" wrapText="1"/>
    </xf>
    <xf numFmtId="49" fontId="46" fillId="0" borderId="9">
      <alignment horizontal="center" vertical="center" wrapText="1"/>
    </xf>
    <xf numFmtId="49" fontId="46" fillId="0" borderId="9">
      <alignment horizontal="center" vertical="center" wrapText="1"/>
    </xf>
    <xf numFmtId="49" fontId="46" fillId="0" borderId="9">
      <alignment horizontal="center" vertical="center" wrapText="1"/>
    </xf>
    <xf numFmtId="49" fontId="65" fillId="0" borderId="8" applyNumberFormat="0" applyFill="0" applyAlignment="0" applyProtection="0"/>
    <xf numFmtId="174" fontId="65" fillId="0" borderId="9" applyNumberFormat="0" applyFill="0" applyAlignment="0" applyProtection="0"/>
    <xf numFmtId="174" fontId="65" fillId="0" borderId="9" applyNumberFormat="0" applyFill="0" applyAlignment="0" applyProtection="0"/>
    <xf numFmtId="174" fontId="65" fillId="0" borderId="9" applyNumberFormat="0" applyFill="0" applyAlignment="0" applyProtection="0"/>
    <xf numFmtId="171" fontId="38" fillId="0" borderId="0" applyFont="0" applyFill="0" applyBorder="0" applyAlignment="0" applyProtection="0"/>
    <xf numFmtId="174" fontId="38" fillId="0" borderId="0"/>
    <xf numFmtId="0" fontId="93" fillId="0" borderId="0">
      <alignment vertical="center"/>
    </xf>
    <xf numFmtId="0" fontId="68" fillId="0" borderId="0"/>
    <xf numFmtId="174" fontId="66" fillId="0" borderId="0"/>
  </cellStyleXfs>
  <cellXfs count="458">
    <xf numFmtId="0" fontId="0" fillId="0" borderId="0" xfId="0"/>
    <xf numFmtId="0" fontId="23" fillId="77" borderId="0" xfId="0" applyFont="1" applyFill="1"/>
    <xf numFmtId="0" fontId="4" fillId="77" borderId="0" xfId="0" applyFont="1" applyFill="1"/>
    <xf numFmtId="1" fontId="4" fillId="77" borderId="0" xfId="0" applyNumberFormat="1" applyFont="1" applyFill="1"/>
    <xf numFmtId="0" fontId="4" fillId="77" borderId="0" xfId="0" applyFont="1" applyFill="1" applyAlignment="1">
      <alignment horizontal="center" vertical="center"/>
    </xf>
    <xf numFmtId="0" fontId="4" fillId="77" borderId="0" xfId="0" applyFont="1" applyFill="1" applyAlignment="1">
      <alignment horizontal="right" vertical="center"/>
    </xf>
    <xf numFmtId="3" fontId="4" fillId="77" borderId="0" xfId="0" applyNumberFormat="1" applyFont="1" applyFill="1" applyAlignment="1">
      <alignment horizontal="center" vertical="center"/>
    </xf>
    <xf numFmtId="3" fontId="4" fillId="77" borderId="0" xfId="0" applyNumberFormat="1" applyFont="1" applyFill="1"/>
    <xf numFmtId="3" fontId="4" fillId="77" borderId="0" xfId="0" applyNumberFormat="1" applyFont="1" applyFill="1" applyBorder="1"/>
    <xf numFmtId="0" fontId="84" fillId="77" borderId="0" xfId="0" applyFont="1" applyFill="1"/>
    <xf numFmtId="0" fontId="84" fillId="77" borderId="0" xfId="0" applyFont="1" applyFill="1" applyBorder="1"/>
    <xf numFmtId="0" fontId="96" fillId="77" borderId="0" xfId="0" applyFont="1" applyFill="1"/>
    <xf numFmtId="49" fontId="84" fillId="77" borderId="0" xfId="0" applyNumberFormat="1" applyFont="1" applyFill="1" applyBorder="1" applyAlignment="1">
      <alignment vertical="center"/>
    </xf>
    <xf numFmtId="0" fontId="84" fillId="77" borderId="0" xfId="0" applyFont="1" applyFill="1" applyBorder="1" applyAlignment="1">
      <alignment vertical="center"/>
    </xf>
    <xf numFmtId="0" fontId="0" fillId="77" borderId="0" xfId="0" applyFill="1"/>
    <xf numFmtId="0" fontId="90" fillId="77" borderId="0" xfId="1782" applyFont="1" applyFill="1" applyAlignment="1">
      <alignment horizontal="center" vertical="top"/>
    </xf>
    <xf numFmtId="0" fontId="0" fillId="77" borderId="0" xfId="0" applyFont="1" applyFill="1"/>
    <xf numFmtId="0" fontId="0" fillId="77" borderId="0" xfId="0" applyFill="1"/>
    <xf numFmtId="0" fontId="101" fillId="77" borderId="0" xfId="0" applyFont="1" applyFill="1"/>
    <xf numFmtId="0" fontId="89" fillId="102" borderId="0" xfId="1843" applyFont="1" applyFill="1"/>
    <xf numFmtId="0" fontId="84" fillId="77" borderId="0" xfId="0" applyFont="1" applyFill="1" applyAlignment="1">
      <alignment vertical="center"/>
    </xf>
    <xf numFmtId="0" fontId="89" fillId="102" borderId="0" xfId="0" applyFont="1" applyFill="1"/>
    <xf numFmtId="0" fontId="84" fillId="102" borderId="0" xfId="0" applyFont="1" applyFill="1" applyAlignment="1">
      <alignment vertical="center"/>
    </xf>
    <xf numFmtId="0" fontId="84" fillId="0" borderId="0" xfId="0" applyFont="1" applyAlignment="1">
      <alignment vertical="center"/>
    </xf>
    <xf numFmtId="0" fontId="98" fillId="77" borderId="0" xfId="1782" applyFont="1" applyFill="1" applyAlignment="1">
      <alignment horizontal="center" vertical="center"/>
    </xf>
    <xf numFmtId="0" fontId="88" fillId="0" borderId="0" xfId="0" applyFont="1" applyAlignment="1">
      <alignment vertical="center"/>
    </xf>
    <xf numFmtId="0" fontId="90" fillId="77" borderId="0" xfId="1782" applyNumberFormat="1" applyFont="1" applyFill="1" applyAlignment="1">
      <alignment horizontal="center" vertical="top"/>
    </xf>
    <xf numFmtId="0" fontId="98" fillId="77" borderId="0" xfId="1782" applyFont="1" applyFill="1" applyAlignment="1">
      <alignment horizontal="left" vertical="center"/>
    </xf>
    <xf numFmtId="0" fontId="98" fillId="77" borderId="0" xfId="1782" applyFont="1" applyFill="1" applyAlignment="1">
      <alignment horizontal="center" vertical="center" wrapText="1"/>
    </xf>
    <xf numFmtId="0" fontId="84" fillId="77" borderId="0" xfId="0" applyFont="1" applyFill="1" applyAlignment="1">
      <alignment wrapText="1"/>
    </xf>
    <xf numFmtId="3" fontId="89" fillId="102" borderId="0" xfId="0" applyNumberFormat="1" applyFont="1" applyFill="1" applyBorder="1" applyAlignment="1">
      <alignment horizontal="center" vertical="center"/>
    </xf>
    <xf numFmtId="0" fontId="89" fillId="102" borderId="0" xfId="1782" applyFont="1" applyFill="1" applyBorder="1" applyAlignment="1">
      <alignment horizontal="left" vertical="center"/>
    </xf>
    <xf numFmtId="9" fontId="131" fillId="77" borderId="0" xfId="1782" applyNumberFormat="1" applyFont="1" applyFill="1" applyAlignment="1">
      <alignment horizontal="center" vertical="center"/>
    </xf>
    <xf numFmtId="0" fontId="133" fillId="77" borderId="34" xfId="0" applyFont="1" applyFill="1" applyBorder="1" applyAlignment="1">
      <alignment horizontal="left" vertical="center"/>
    </xf>
    <xf numFmtId="10" fontId="133" fillId="102" borderId="34" xfId="0" applyNumberFormat="1" applyFont="1" applyFill="1" applyBorder="1" applyAlignment="1">
      <alignment horizontal="center" vertical="center"/>
    </xf>
    <xf numFmtId="10" fontId="133" fillId="77" borderId="34" xfId="0" applyNumberFormat="1" applyFont="1" applyFill="1" applyBorder="1" applyAlignment="1">
      <alignment horizontal="center" vertical="center"/>
    </xf>
    <xf numFmtId="10" fontId="133" fillId="77" borderId="34" xfId="0" applyNumberFormat="1" applyFont="1" applyFill="1" applyBorder="1" applyAlignment="1">
      <alignment horizontal="center" vertical="center" wrapText="1"/>
    </xf>
    <xf numFmtId="0" fontId="136" fillId="105" borderId="34" xfId="0" applyFont="1" applyFill="1" applyBorder="1" applyAlignment="1">
      <alignment horizontal="center" vertical="center"/>
    </xf>
    <xf numFmtId="0" fontId="136" fillId="105" borderId="34" xfId="0" applyFont="1" applyFill="1" applyBorder="1" applyAlignment="1">
      <alignment horizontal="center" vertical="center" wrapText="1"/>
    </xf>
    <xf numFmtId="0" fontId="137" fillId="102" borderId="0" xfId="1782" applyFont="1" applyFill="1" applyAlignment="1">
      <alignment horizontal="left" vertical="center"/>
    </xf>
    <xf numFmtId="0" fontId="138" fillId="77" borderId="0" xfId="1782" applyFont="1" applyFill="1" applyAlignment="1">
      <alignment horizontal="left" vertical="center"/>
    </xf>
    <xf numFmtId="0" fontId="133" fillId="77" borderId="47" xfId="0" applyFont="1" applyFill="1" applyBorder="1" applyAlignment="1">
      <alignment horizontal="left" vertical="center" wrapText="1"/>
    </xf>
    <xf numFmtId="3" fontId="134" fillId="102" borderId="47" xfId="0" applyNumberFormat="1" applyFont="1" applyFill="1" applyBorder="1" applyAlignment="1">
      <alignment horizontal="center" vertical="center"/>
    </xf>
    <xf numFmtId="9" fontId="134" fillId="102" borderId="47" xfId="1925" applyFont="1" applyFill="1" applyBorder="1" applyAlignment="1">
      <alignment horizontal="center" vertical="center" wrapText="1"/>
    </xf>
    <xf numFmtId="0" fontId="132" fillId="77" borderId="47" xfId="0" applyFont="1" applyFill="1" applyBorder="1" applyAlignment="1">
      <alignment horizontal="left" vertical="center" wrapText="1"/>
    </xf>
    <xf numFmtId="3" fontId="135" fillId="102" borderId="47" xfId="0" applyNumberFormat="1" applyFont="1" applyFill="1" applyBorder="1" applyAlignment="1">
      <alignment horizontal="center" vertical="center"/>
    </xf>
    <xf numFmtId="9" fontId="135" fillId="102" borderId="47" xfId="1925" applyFont="1" applyFill="1" applyBorder="1" applyAlignment="1">
      <alignment horizontal="center" vertical="center"/>
    </xf>
    <xf numFmtId="9" fontId="135" fillId="102" borderId="47" xfId="1925" applyFont="1" applyFill="1" applyBorder="1" applyAlignment="1">
      <alignment horizontal="center" vertical="center" wrapText="1"/>
    </xf>
    <xf numFmtId="0" fontId="133" fillId="77" borderId="47" xfId="0" applyFont="1" applyFill="1" applyBorder="1" applyAlignment="1">
      <alignment horizontal="left" vertical="center"/>
    </xf>
    <xf numFmtId="0" fontId="134" fillId="77" borderId="47" xfId="0" applyFont="1" applyFill="1" applyBorder="1" applyAlignment="1">
      <alignment horizontal="center" vertical="center" wrapText="1"/>
    </xf>
    <xf numFmtId="0" fontId="133" fillId="77" borderId="47" xfId="0" applyFont="1" applyFill="1" applyBorder="1" applyAlignment="1">
      <alignment horizontal="center" vertical="center" wrapText="1"/>
    </xf>
    <xf numFmtId="0" fontId="134" fillId="77" borderId="47" xfId="1782" applyFont="1" applyFill="1" applyBorder="1" applyAlignment="1">
      <alignment horizontal="left" vertical="center"/>
    </xf>
    <xf numFmtId="0" fontId="136" fillId="105" borderId="48" xfId="0" applyFont="1" applyFill="1" applyBorder="1" applyAlignment="1">
      <alignment horizontal="center" vertical="center"/>
    </xf>
    <xf numFmtId="0" fontId="132" fillId="77" borderId="49" xfId="0" applyFont="1" applyFill="1" applyBorder="1" applyAlignment="1">
      <alignment horizontal="left" vertical="center"/>
    </xf>
    <xf numFmtId="10" fontId="133" fillId="77" borderId="49" xfId="0" applyNumberFormat="1" applyFont="1" applyFill="1" applyBorder="1" applyAlignment="1">
      <alignment horizontal="center" vertical="center"/>
    </xf>
    <xf numFmtId="49" fontId="133" fillId="77" borderId="0" xfId="0" applyNumberFormat="1" applyFont="1" applyFill="1" applyBorder="1" applyAlignment="1">
      <alignment vertical="center"/>
    </xf>
    <xf numFmtId="0" fontId="137" fillId="77" borderId="0" xfId="1782" applyFont="1" applyFill="1" applyBorder="1" applyAlignment="1">
      <alignment horizontal="left" vertical="center"/>
    </xf>
    <xf numFmtId="9" fontId="139" fillId="77" borderId="0" xfId="1782" applyNumberFormat="1" applyFont="1" applyFill="1" applyBorder="1" applyAlignment="1">
      <alignment horizontal="right" vertical="center"/>
    </xf>
    <xf numFmtId="3" fontId="133" fillId="77" borderId="0" xfId="0" applyNumberFormat="1" applyFont="1" applyFill="1" applyBorder="1" applyAlignment="1">
      <alignment vertical="center"/>
    </xf>
    <xf numFmtId="0" fontId="143" fillId="77" borderId="0" xfId="0" applyFont="1" applyFill="1" applyBorder="1" applyAlignment="1">
      <alignment horizontal="right" vertical="center"/>
    </xf>
    <xf numFmtId="0" fontId="133" fillId="102" borderId="0" xfId="0" applyFont="1" applyFill="1" applyAlignment="1">
      <alignment vertical="center"/>
    </xf>
    <xf numFmtId="0" fontId="144" fillId="77" borderId="0" xfId="1782" applyFont="1" applyFill="1" applyBorder="1" applyAlignment="1">
      <alignment horizontal="left" vertical="center"/>
    </xf>
    <xf numFmtId="0" fontId="133" fillId="77" borderId="0" xfId="0" applyFont="1" applyFill="1" applyAlignment="1">
      <alignment vertical="center"/>
    </xf>
    <xf numFmtId="0" fontId="145" fillId="77" borderId="0" xfId="0" applyFont="1" applyFill="1" applyAlignment="1">
      <alignment vertical="center"/>
    </xf>
    <xf numFmtId="0" fontId="133" fillId="77" borderId="0" xfId="0" applyFont="1" applyFill="1" applyBorder="1" applyAlignment="1">
      <alignment vertical="center"/>
    </xf>
    <xf numFmtId="0" fontId="130" fillId="77" borderId="0" xfId="1782" applyFont="1" applyFill="1" applyBorder="1" applyAlignment="1">
      <alignment horizontal="left" vertical="center"/>
    </xf>
    <xf numFmtId="49" fontId="136" fillId="105" borderId="34" xfId="0" applyNumberFormat="1" applyFont="1" applyFill="1" applyBorder="1" applyAlignment="1">
      <alignment horizontal="center" vertical="center"/>
    </xf>
    <xf numFmtId="2" fontId="136" fillId="105" borderId="34" xfId="0" applyNumberFormat="1" applyFont="1" applyFill="1" applyBorder="1" applyAlignment="1">
      <alignment horizontal="center" vertical="center" wrapText="1"/>
    </xf>
    <xf numFmtId="17" fontId="136" fillId="105" borderId="34" xfId="0" applyNumberFormat="1" applyFont="1" applyFill="1" applyBorder="1" applyAlignment="1">
      <alignment horizontal="center" vertical="center"/>
    </xf>
    <xf numFmtId="49" fontId="133" fillId="77" borderId="47" xfId="0" applyNumberFormat="1" applyFont="1" applyFill="1" applyBorder="1" applyAlignment="1">
      <alignment horizontal="center" vertical="center"/>
    </xf>
    <xf numFmtId="3" fontId="141" fillId="102" borderId="47" xfId="0" applyNumberFormat="1" applyFont="1" applyFill="1" applyBorder="1" applyAlignment="1">
      <alignment horizontal="right" vertical="center"/>
    </xf>
    <xf numFmtId="3" fontId="134" fillId="102" borderId="47" xfId="0" applyNumberFormat="1" applyFont="1" applyFill="1" applyBorder="1" applyAlignment="1">
      <alignment horizontal="right" vertical="center"/>
    </xf>
    <xf numFmtId="3" fontId="133" fillId="102" borderId="47" xfId="0" applyNumberFormat="1" applyFont="1" applyFill="1" applyBorder="1" applyAlignment="1">
      <alignment horizontal="right" vertical="center"/>
    </xf>
    <xf numFmtId="49" fontId="133" fillId="77" borderId="47" xfId="1762" applyNumberFormat="1" applyFont="1" applyFill="1" applyBorder="1" applyAlignment="1">
      <alignment horizontal="center" vertical="center"/>
    </xf>
    <xf numFmtId="3" fontId="132" fillId="101" borderId="47" xfId="0" applyNumberFormat="1" applyFont="1" applyFill="1" applyBorder="1" applyAlignment="1">
      <alignment horizontal="right" vertical="center"/>
    </xf>
    <xf numFmtId="3" fontId="141" fillId="104" borderId="47" xfId="0" applyNumberFormat="1" applyFont="1" applyFill="1" applyBorder="1" applyAlignment="1">
      <alignment horizontal="right" vertical="center"/>
    </xf>
    <xf numFmtId="0" fontId="137" fillId="77" borderId="0" xfId="1782" applyFont="1" applyFill="1" applyAlignment="1">
      <alignment horizontal="left" vertical="center"/>
    </xf>
    <xf numFmtId="9" fontId="146" fillId="77" borderId="0" xfId="0" applyNumberFormat="1" applyFont="1" applyFill="1" applyAlignment="1">
      <alignment horizontal="center" vertical="center"/>
    </xf>
    <xf numFmtId="0" fontId="133" fillId="77" borderId="0" xfId="0" applyFont="1" applyFill="1" applyBorder="1"/>
    <xf numFmtId="0" fontId="132" fillId="77" borderId="0" xfId="0" applyFont="1" applyFill="1" applyBorder="1" applyAlignment="1">
      <alignment vertical="center"/>
    </xf>
    <xf numFmtId="0" fontId="132" fillId="77" borderId="0" xfId="0" applyFont="1" applyFill="1" applyAlignment="1">
      <alignment vertical="center"/>
    </xf>
    <xf numFmtId="0" fontId="132" fillId="102" borderId="0" xfId="0" applyFont="1" applyFill="1" applyAlignment="1">
      <alignment vertical="center"/>
    </xf>
    <xf numFmtId="0" fontId="133" fillId="77" borderId="0" xfId="0" applyFont="1" applyFill="1" applyBorder="1" applyAlignment="1">
      <alignment horizontal="center" vertical="center"/>
    </xf>
    <xf numFmtId="0" fontId="141" fillId="77" borderId="0" xfId="0" applyFont="1" applyFill="1" applyAlignment="1">
      <alignment vertical="center"/>
    </xf>
    <xf numFmtId="0" fontId="133" fillId="77" borderId="0" xfId="0" applyFont="1" applyFill="1"/>
    <xf numFmtId="0" fontId="142" fillId="77" borderId="0" xfId="1782" applyFont="1" applyFill="1" applyAlignment="1">
      <alignment horizontal="left" vertical="center"/>
    </xf>
    <xf numFmtId="0" fontId="141" fillId="102" borderId="0" xfId="0" applyFont="1" applyFill="1" applyAlignment="1">
      <alignment vertical="center"/>
    </xf>
    <xf numFmtId="17" fontId="136" fillId="105" borderId="49" xfId="0" applyNumberFormat="1" applyFont="1" applyFill="1" applyBorder="1" applyAlignment="1">
      <alignment horizontal="center" vertical="center"/>
    </xf>
    <xf numFmtId="0" fontId="133" fillId="102" borderId="0" xfId="0" applyFont="1" applyFill="1" applyBorder="1" applyAlignment="1">
      <alignment vertical="center"/>
    </xf>
    <xf numFmtId="3" fontId="133" fillId="102" borderId="47" xfId="0" applyNumberFormat="1" applyFont="1" applyFill="1" applyBorder="1" applyAlignment="1">
      <alignment horizontal="center" vertical="center" shrinkToFit="1"/>
    </xf>
    <xf numFmtId="0" fontId="136" fillId="105" borderId="49" xfId="0" applyFont="1" applyFill="1" applyBorder="1" applyAlignment="1">
      <alignment horizontal="center" vertical="center"/>
    </xf>
    <xf numFmtId="0" fontId="137" fillId="77" borderId="0" xfId="1782" applyFont="1" applyFill="1" applyAlignment="1">
      <alignment horizontal="left" vertical="top"/>
    </xf>
    <xf numFmtId="0" fontId="142" fillId="77" borderId="0" xfId="1782" applyFont="1" applyFill="1" applyAlignment="1">
      <alignment horizontal="left" vertical="top"/>
    </xf>
    <xf numFmtId="0" fontId="133" fillId="102" borderId="0" xfId="0" applyFont="1" applyFill="1"/>
    <xf numFmtId="174" fontId="136" fillId="105" borderId="49" xfId="1785" applyFont="1" applyFill="1" applyBorder="1" applyAlignment="1">
      <alignment horizontal="center" vertical="center" wrapText="1"/>
    </xf>
    <xf numFmtId="4" fontId="136" fillId="105" borderId="49" xfId="1841" applyNumberFormat="1" applyFont="1" applyFill="1" applyBorder="1" applyAlignment="1">
      <alignment horizontal="center" vertical="center" wrapText="1"/>
    </xf>
    <xf numFmtId="3" fontId="132" fillId="102" borderId="47" xfId="0" applyNumberFormat="1" applyFont="1" applyFill="1" applyBorder="1" applyAlignment="1">
      <alignment horizontal="right" vertical="center"/>
    </xf>
    <xf numFmtId="0" fontId="133" fillId="77" borderId="0" xfId="0" applyFont="1" applyFill="1" applyAlignment="1">
      <alignment horizontal="center" vertical="center"/>
    </xf>
    <xf numFmtId="0" fontId="133" fillId="77" borderId="0" xfId="0" applyFont="1" applyFill="1" applyAlignment="1">
      <alignment horizontal="right" vertical="center"/>
    </xf>
    <xf numFmtId="0" fontId="149" fillId="77" borderId="0" xfId="0" applyFont="1" applyFill="1" applyBorder="1" applyAlignment="1">
      <alignment vertical="center"/>
    </xf>
    <xf numFmtId="0" fontId="136" fillId="105" borderId="49" xfId="0" applyFont="1" applyFill="1" applyBorder="1" applyAlignment="1">
      <alignment horizontal="center" vertical="center" wrapText="1"/>
    </xf>
    <xf numFmtId="49" fontId="133" fillId="0" borderId="47" xfId="0" applyNumberFormat="1" applyFont="1" applyFill="1" applyBorder="1" applyAlignment="1">
      <alignment horizontal="center" vertical="center"/>
    </xf>
    <xf numFmtId="0" fontId="133" fillId="0" borderId="47" xfId="0" applyFont="1" applyFill="1" applyBorder="1" applyAlignment="1">
      <alignment horizontal="left" vertical="center" wrapText="1"/>
    </xf>
    <xf numFmtId="3" fontId="133" fillId="0" borderId="47" xfId="0" applyNumberFormat="1" applyFont="1" applyFill="1" applyBorder="1" applyAlignment="1">
      <alignment horizontal="right" vertical="center" wrapText="1"/>
    </xf>
    <xf numFmtId="3" fontId="132" fillId="101" borderId="47" xfId="0" applyNumberFormat="1" applyFont="1" applyFill="1" applyBorder="1" applyAlignment="1">
      <alignment horizontal="center" vertical="center" shrinkToFit="1"/>
    </xf>
    <xf numFmtId="3" fontId="132" fillId="101" borderId="47" xfId="0" applyNumberFormat="1" applyFont="1" applyFill="1" applyBorder="1" applyAlignment="1">
      <alignment horizontal="right" vertical="center" shrinkToFit="1"/>
    </xf>
    <xf numFmtId="0" fontId="132" fillId="101" borderId="47" xfId="1785" applyNumberFormat="1" applyFont="1" applyFill="1" applyBorder="1" applyAlignment="1">
      <alignment horizontal="center" vertical="top"/>
    </xf>
    <xf numFmtId="3" fontId="132" fillId="101" borderId="47" xfId="0" applyNumberFormat="1" applyFont="1" applyFill="1" applyBorder="1" applyAlignment="1">
      <alignment horizontal="center" vertical="center"/>
    </xf>
    <xf numFmtId="0" fontId="132" fillId="101" borderId="47" xfId="0" applyFont="1" applyFill="1" applyBorder="1" applyAlignment="1">
      <alignment horizontal="center" vertical="center" wrapText="1"/>
    </xf>
    <xf numFmtId="0" fontId="132" fillId="101" borderId="47" xfId="0" applyFont="1" applyFill="1" applyBorder="1" applyAlignment="1">
      <alignment horizontal="left" vertical="center" wrapText="1"/>
    </xf>
    <xf numFmtId="3" fontId="132" fillId="101" borderId="47" xfId="0" applyNumberFormat="1" applyFont="1" applyFill="1" applyBorder="1" applyAlignment="1">
      <alignment horizontal="right" vertical="center" wrapText="1"/>
    </xf>
    <xf numFmtId="0" fontId="134" fillId="102" borderId="0" xfId="0" applyFont="1" applyFill="1" applyAlignment="1">
      <alignment vertical="center"/>
    </xf>
    <xf numFmtId="0" fontId="135" fillId="102" borderId="0" xfId="0" applyFont="1" applyFill="1" applyAlignment="1">
      <alignment vertical="center"/>
    </xf>
    <xf numFmtId="0" fontId="150" fillId="77" borderId="0" xfId="0" applyFont="1" applyFill="1" applyBorder="1" applyAlignment="1">
      <alignment horizontal="left" vertical="center"/>
    </xf>
    <xf numFmtId="3" fontId="133" fillId="77" borderId="0" xfId="0" applyNumberFormat="1" applyFont="1" applyFill="1" applyBorder="1" applyAlignment="1">
      <alignment horizontal="right" vertical="center"/>
    </xf>
    <xf numFmtId="0" fontId="151" fillId="77" borderId="0" xfId="0" applyFont="1" applyFill="1" applyBorder="1" applyAlignment="1">
      <alignment horizontal="left" vertical="center"/>
    </xf>
    <xf numFmtId="0" fontId="141" fillId="77" borderId="0" xfId="0" applyFont="1" applyFill="1" applyAlignment="1">
      <alignment horizontal="right" vertical="center"/>
    </xf>
    <xf numFmtId="0" fontId="140" fillId="102" borderId="0" xfId="0" applyFont="1" applyFill="1" applyAlignment="1">
      <alignment vertical="center"/>
    </xf>
    <xf numFmtId="0" fontId="141" fillId="77" borderId="0" xfId="0" applyFont="1" applyFill="1"/>
    <xf numFmtId="0" fontId="141" fillId="102" borderId="0" xfId="0" applyFont="1" applyFill="1"/>
    <xf numFmtId="0" fontId="152" fillId="77" borderId="0" xfId="0" applyFont="1" applyFill="1" applyAlignment="1">
      <alignment vertical="center"/>
    </xf>
    <xf numFmtId="0" fontId="133" fillId="77" borderId="0" xfId="0" applyFont="1" applyFill="1" applyBorder="1" applyAlignment="1">
      <alignment horizontal="left" vertical="center"/>
    </xf>
    <xf numFmtId="0" fontId="135" fillId="101" borderId="47" xfId="0" applyFont="1" applyFill="1" applyBorder="1" applyAlignment="1">
      <alignment horizontal="left" vertical="center"/>
    </xf>
    <xf numFmtId="3" fontId="135" fillId="101" borderId="47" xfId="0" applyNumberFormat="1" applyFont="1" applyFill="1" applyBorder="1" applyAlignment="1">
      <alignment horizontal="right" vertical="center"/>
    </xf>
    <xf numFmtId="1" fontId="136" fillId="105" borderId="49" xfId="0" applyNumberFormat="1" applyFont="1" applyFill="1" applyBorder="1" applyAlignment="1">
      <alignment horizontal="center" vertical="center"/>
    </xf>
    <xf numFmtId="0" fontId="132" fillId="101" borderId="47" xfId="0" applyFont="1" applyFill="1" applyBorder="1" applyAlignment="1">
      <alignment horizontal="left" vertical="center"/>
    </xf>
    <xf numFmtId="0" fontId="133" fillId="102" borderId="0" xfId="0" applyFont="1" applyFill="1" applyBorder="1" applyAlignment="1">
      <alignment horizontal="right" vertical="center"/>
    </xf>
    <xf numFmtId="0" fontId="133" fillId="77" borderId="0" xfId="0" applyFont="1" applyFill="1" applyBorder="1" applyAlignment="1">
      <alignment horizontal="right" vertical="center"/>
    </xf>
    <xf numFmtId="0" fontId="148" fillId="77" borderId="0" xfId="0" applyFont="1" applyFill="1" applyBorder="1" applyAlignment="1">
      <alignment horizontal="right" vertical="center"/>
    </xf>
    <xf numFmtId="0" fontId="134" fillId="77" borderId="0" xfId="0" applyFont="1" applyFill="1" applyAlignment="1">
      <alignment vertical="center"/>
    </xf>
    <xf numFmtId="0" fontId="154" fillId="77" borderId="0" xfId="0" applyFont="1" applyFill="1" applyAlignment="1">
      <alignment horizontal="right" vertical="center"/>
    </xf>
    <xf numFmtId="9" fontId="134" fillId="77" borderId="0" xfId="0" applyNumberFormat="1" applyFont="1" applyFill="1" applyAlignment="1">
      <alignment horizontal="center" vertical="center"/>
    </xf>
    <xf numFmtId="10" fontId="147" fillId="77" borderId="0" xfId="0" applyNumberFormat="1" applyFont="1" applyFill="1" applyAlignment="1">
      <alignment vertical="center"/>
    </xf>
    <xf numFmtId="3" fontId="133" fillId="77" borderId="0" xfId="0" applyNumberFormat="1" applyFont="1" applyFill="1" applyAlignment="1">
      <alignment vertical="center"/>
    </xf>
    <xf numFmtId="0" fontId="154" fillId="77" borderId="0" xfId="0" applyFont="1" applyFill="1" applyAlignment="1">
      <alignment vertical="center"/>
    </xf>
    <xf numFmtId="3" fontId="135" fillId="102" borderId="47" xfId="1743" applyNumberFormat="1" applyFont="1" applyFill="1" applyBorder="1" applyAlignment="1">
      <alignment vertical="center" wrapText="1"/>
    </xf>
    <xf numFmtId="3" fontId="134" fillId="102" borderId="47" xfId="1743" applyNumberFormat="1" applyFont="1" applyFill="1" applyBorder="1" applyAlignment="1">
      <alignment vertical="center" wrapText="1"/>
    </xf>
    <xf numFmtId="3" fontId="153" fillId="102" borderId="47" xfId="1743" applyNumberFormat="1" applyFont="1" applyFill="1" applyBorder="1" applyAlignment="1">
      <alignment vertical="center" wrapText="1"/>
    </xf>
    <xf numFmtId="3" fontId="134" fillId="102" borderId="47" xfId="1743" applyNumberFormat="1" applyFont="1" applyFill="1" applyBorder="1" applyAlignment="1">
      <alignment vertical="center"/>
    </xf>
    <xf numFmtId="3" fontId="135" fillId="102" borderId="47" xfId="1743" applyNumberFormat="1" applyFont="1" applyFill="1" applyBorder="1" applyAlignment="1">
      <alignment vertical="center"/>
    </xf>
    <xf numFmtId="3" fontId="154" fillId="102" borderId="47" xfId="1743" applyNumberFormat="1" applyFont="1" applyFill="1" applyBorder="1" applyAlignment="1">
      <alignment vertical="center" wrapText="1"/>
    </xf>
    <xf numFmtId="3" fontId="153" fillId="102" borderId="47" xfId="0" applyNumberFormat="1" applyFont="1" applyFill="1" applyBorder="1" applyAlignment="1">
      <alignment horizontal="right" vertical="center"/>
    </xf>
    <xf numFmtId="17" fontId="136" fillId="105" borderId="49" xfId="0" applyNumberFormat="1" applyFont="1" applyFill="1" applyBorder="1" applyAlignment="1">
      <alignment vertical="center"/>
    </xf>
    <xf numFmtId="1" fontId="136" fillId="105" borderId="49" xfId="1762" applyNumberFormat="1" applyFont="1" applyFill="1" applyBorder="1" applyAlignment="1">
      <alignment horizontal="center" vertical="center" wrapText="1"/>
    </xf>
    <xf numFmtId="0" fontId="133" fillId="77" borderId="47" xfId="1783" quotePrefix="1" applyFont="1" applyFill="1" applyBorder="1" applyAlignment="1">
      <alignment horizontal="left" vertical="center" wrapText="1"/>
    </xf>
    <xf numFmtId="0" fontId="133" fillId="77" borderId="47" xfId="1783" applyFont="1" applyFill="1" applyBorder="1" applyAlignment="1">
      <alignment horizontal="left" vertical="center" wrapText="1"/>
    </xf>
    <xf numFmtId="0" fontId="141" fillId="102" borderId="47" xfId="1783" applyFont="1" applyFill="1" applyBorder="1" applyAlignment="1">
      <alignment horizontal="left" vertical="center" wrapText="1"/>
    </xf>
    <xf numFmtId="0" fontId="132" fillId="77" borderId="47" xfId="1783" applyFont="1" applyFill="1" applyBorder="1" applyAlignment="1">
      <alignment horizontal="left" vertical="center" wrapText="1"/>
    </xf>
    <xf numFmtId="3" fontId="134" fillId="77" borderId="47" xfId="1762" applyNumberFormat="1" applyFont="1" applyFill="1" applyBorder="1" applyAlignment="1">
      <alignment horizontal="right" vertical="center" wrapText="1"/>
    </xf>
    <xf numFmtId="3" fontId="133" fillId="77" borderId="47" xfId="0" applyNumberFormat="1" applyFont="1" applyFill="1" applyBorder="1" applyAlignment="1">
      <alignment horizontal="right" vertical="center"/>
    </xf>
    <xf numFmtId="176" fontId="134" fillId="77" borderId="47" xfId="1743" applyNumberFormat="1" applyFont="1" applyFill="1" applyBorder="1" applyAlignment="1">
      <alignment horizontal="right" vertical="center"/>
    </xf>
    <xf numFmtId="9" fontId="134" fillId="77" borderId="47" xfId="1743" applyNumberFormat="1" applyFont="1" applyFill="1" applyBorder="1" applyAlignment="1">
      <alignment horizontal="right" vertical="center"/>
    </xf>
    <xf numFmtId="176" fontId="135" fillId="77" borderId="47" xfId="1743" applyNumberFormat="1" applyFont="1" applyFill="1" applyBorder="1" applyAlignment="1">
      <alignment horizontal="right" vertical="center"/>
    </xf>
    <xf numFmtId="0" fontId="148" fillId="77" borderId="0" xfId="0" applyFont="1" applyFill="1" applyAlignment="1">
      <alignment vertical="center"/>
    </xf>
    <xf numFmtId="0" fontId="149" fillId="77" borderId="0" xfId="0" applyFont="1" applyFill="1" applyAlignment="1">
      <alignment vertical="center"/>
    </xf>
    <xf numFmtId="0" fontId="133" fillId="77" borderId="47" xfId="0" applyFont="1" applyFill="1" applyBorder="1" applyAlignment="1" applyProtection="1">
      <alignment horizontal="left" vertical="center"/>
    </xf>
    <xf numFmtId="3" fontId="133" fillId="77" borderId="47" xfId="0" applyNumberFormat="1" applyFont="1" applyFill="1" applyBorder="1" applyAlignment="1" applyProtection="1">
      <alignment horizontal="right" vertical="center"/>
      <protection hidden="1"/>
    </xf>
    <xf numFmtId="0" fontId="133" fillId="77" borderId="47" xfId="0" quotePrefix="1" applyFont="1" applyFill="1" applyBorder="1" applyAlignment="1" applyProtection="1">
      <alignment horizontal="left" vertical="center"/>
    </xf>
    <xf numFmtId="2" fontId="134" fillId="77" borderId="47" xfId="0" applyNumberFormat="1" applyFont="1" applyFill="1" applyBorder="1" applyAlignment="1" applyProtection="1">
      <alignment horizontal="right" vertical="center"/>
      <protection hidden="1"/>
    </xf>
    <xf numFmtId="172" fontId="133" fillId="77" borderId="47" xfId="0" applyNumberFormat="1" applyFont="1" applyFill="1" applyBorder="1" applyAlignment="1" applyProtection="1">
      <alignment horizontal="right" vertical="center"/>
      <protection hidden="1"/>
    </xf>
    <xf numFmtId="9" fontId="133" fillId="77" borderId="47" xfId="1923" applyFont="1" applyFill="1" applyBorder="1" applyAlignment="1">
      <alignment horizontal="right" vertical="center"/>
    </xf>
    <xf numFmtId="10" fontId="133" fillId="77" borderId="47" xfId="0" applyNumberFormat="1" applyFont="1" applyFill="1" applyBorder="1" applyAlignment="1">
      <alignment horizontal="right" vertical="center"/>
    </xf>
    <xf numFmtId="173" fontId="134" fillId="77" borderId="47" xfId="0" applyNumberFormat="1" applyFont="1" applyFill="1" applyBorder="1" applyAlignment="1">
      <alignment horizontal="right" vertical="center"/>
    </xf>
    <xf numFmtId="9" fontId="134" fillId="77" borderId="47" xfId="0" applyNumberFormat="1" applyFont="1" applyFill="1" applyBorder="1" applyAlignment="1">
      <alignment horizontal="right" vertical="center"/>
    </xf>
    <xf numFmtId="4" fontId="134" fillId="77" borderId="47" xfId="0" applyNumberFormat="1" applyFont="1" applyFill="1" applyBorder="1" applyAlignment="1">
      <alignment horizontal="right" vertical="center"/>
    </xf>
    <xf numFmtId="172" fontId="134" fillId="77" borderId="47" xfId="0" applyNumberFormat="1" applyFont="1" applyFill="1" applyBorder="1" applyAlignment="1">
      <alignment horizontal="right" vertical="center"/>
    </xf>
    <xf numFmtId="2" fontId="133" fillId="77" borderId="47" xfId="0" applyNumberFormat="1" applyFont="1" applyFill="1" applyBorder="1" applyAlignment="1" applyProtection="1">
      <alignment horizontal="right" vertical="center"/>
      <protection hidden="1"/>
    </xf>
    <xf numFmtId="0" fontId="154" fillId="102" borderId="0" xfId="0" applyFont="1" applyFill="1" applyAlignment="1">
      <alignment vertical="center"/>
    </xf>
    <xf numFmtId="0" fontId="134" fillId="102" borderId="0" xfId="0" applyFont="1" applyFill="1"/>
    <xf numFmtId="9" fontId="158" fillId="77" borderId="0" xfId="1925" applyFont="1" applyFill="1" applyAlignment="1">
      <alignment horizontal="center" vertical="center"/>
    </xf>
    <xf numFmtId="3" fontId="154" fillId="102" borderId="0" xfId="0" applyNumberFormat="1" applyFont="1" applyFill="1" applyBorder="1" applyAlignment="1">
      <alignment horizontal="right" vertical="center" wrapText="1"/>
    </xf>
    <xf numFmtId="0" fontId="137" fillId="102" borderId="0" xfId="1842" applyFont="1" applyFill="1" applyAlignment="1">
      <alignment horizontal="left"/>
    </xf>
    <xf numFmtId="0" fontId="134" fillId="102" borderId="0" xfId="1843" applyFont="1" applyFill="1"/>
    <xf numFmtId="0" fontId="135" fillId="102" borderId="0" xfId="1842" applyFont="1" applyFill="1" applyAlignment="1">
      <alignment horizontal="left"/>
    </xf>
    <xf numFmtId="0" fontId="134" fillId="102" borderId="0" xfId="1843" applyFont="1" applyFill="1" applyAlignment="1">
      <alignment horizontal="center"/>
    </xf>
    <xf numFmtId="0" fontId="134" fillId="102" borderId="0" xfId="1843" applyFont="1" applyFill="1" applyAlignment="1">
      <alignment vertical="center"/>
    </xf>
    <xf numFmtId="219" fontId="134" fillId="102" borderId="0" xfId="1843" applyNumberFormat="1" applyFont="1" applyFill="1" applyAlignment="1">
      <alignment vertical="center"/>
    </xf>
    <xf numFmtId="0" fontId="134" fillId="102" borderId="0" xfId="1843" applyFont="1" applyFill="1" applyAlignment="1">
      <alignment horizontal="center" vertical="center"/>
    </xf>
    <xf numFmtId="0" fontId="135" fillId="102" borderId="0" xfId="1842" applyFont="1" applyFill="1" applyAlignment="1">
      <alignment horizontal="left" vertical="center"/>
    </xf>
    <xf numFmtId="10" fontId="134" fillId="102" borderId="0" xfId="1843" applyNumberFormat="1" applyFont="1" applyFill="1" applyAlignment="1">
      <alignment vertical="center"/>
    </xf>
    <xf numFmtId="9" fontId="134" fillId="102" borderId="0" xfId="1949" applyFont="1" applyFill="1" applyBorder="1" applyAlignment="1" applyProtection="1">
      <alignment vertical="center"/>
    </xf>
    <xf numFmtId="0" fontId="159" fillId="102" borderId="0" xfId="1842" applyFont="1" applyFill="1" applyAlignment="1">
      <alignment horizontal="left"/>
    </xf>
    <xf numFmtId="0" fontId="156" fillId="102" borderId="0" xfId="1843" applyFont="1" applyFill="1"/>
    <xf numFmtId="0" fontId="134" fillId="102" borderId="47" xfId="1843" applyFont="1" applyFill="1" applyBorder="1" applyAlignment="1">
      <alignment vertical="center"/>
    </xf>
    <xf numFmtId="10" fontId="134" fillId="102" borderId="47" xfId="1949" applyNumberFormat="1" applyFont="1" applyFill="1" applyBorder="1" applyAlignment="1" applyProtection="1">
      <alignment horizontal="right" vertical="center"/>
    </xf>
    <xf numFmtId="9" fontId="134" fillId="102" borderId="47" xfId="1949" applyNumberFormat="1" applyFont="1" applyFill="1" applyBorder="1" applyAlignment="1" applyProtection="1">
      <alignment horizontal="right" vertical="center"/>
    </xf>
    <xf numFmtId="0" fontId="135" fillId="101" borderId="47" xfId="1722" applyFont="1" applyFill="1" applyBorder="1" applyAlignment="1">
      <alignment horizontal="left" vertical="center" wrapText="1"/>
    </xf>
    <xf numFmtId="10" fontId="135" fillId="101" borderId="47" xfId="1925" applyNumberFormat="1" applyFont="1" applyFill="1" applyBorder="1" applyAlignment="1">
      <alignment horizontal="right" vertical="center" wrapText="1"/>
    </xf>
    <xf numFmtId="0" fontId="136" fillId="105" borderId="49" xfId="1843" applyFont="1" applyFill="1" applyBorder="1" applyAlignment="1">
      <alignment horizontal="center" vertical="center"/>
    </xf>
    <xf numFmtId="0" fontId="136" fillId="105" borderId="49" xfId="0" applyFont="1" applyFill="1" applyBorder="1" applyAlignment="1">
      <alignment vertical="center" wrapText="1"/>
    </xf>
    <xf numFmtId="3" fontId="136" fillId="105" borderId="49" xfId="0" applyNumberFormat="1" applyFont="1" applyFill="1" applyBorder="1" applyAlignment="1">
      <alignment horizontal="right" vertical="center" wrapText="1"/>
    </xf>
    <xf numFmtId="0" fontId="134" fillId="102" borderId="47" xfId="0" applyFont="1" applyFill="1" applyBorder="1" applyAlignment="1">
      <alignment vertical="center" wrapText="1"/>
    </xf>
    <xf numFmtId="3" fontId="134" fillId="102" borderId="47" xfId="0" applyNumberFormat="1" applyFont="1" applyFill="1" applyBorder="1" applyAlignment="1">
      <alignment horizontal="right" vertical="center" wrapText="1"/>
    </xf>
    <xf numFmtId="0" fontId="136" fillId="105" borderId="34" xfId="0" applyFont="1" applyFill="1" applyBorder="1" applyAlignment="1">
      <alignment horizontal="center" vertical="center"/>
    </xf>
    <xf numFmtId="0" fontId="134" fillId="77" borderId="50" xfId="1782" applyFont="1" applyFill="1" applyBorder="1" applyAlignment="1">
      <alignment horizontal="left" vertical="center"/>
    </xf>
    <xf numFmtId="3" fontId="134" fillId="102" borderId="50" xfId="0" applyNumberFormat="1" applyFont="1" applyFill="1" applyBorder="1" applyAlignment="1">
      <alignment horizontal="center" vertical="center"/>
    </xf>
    <xf numFmtId="3" fontId="134" fillId="103" borderId="47" xfId="0" applyNumberFormat="1" applyFont="1" applyFill="1" applyBorder="1" applyAlignment="1">
      <alignment vertical="center"/>
    </xf>
    <xf numFmtId="3" fontId="132" fillId="102" borderId="0" xfId="0" applyNumberFormat="1" applyFont="1" applyFill="1" applyBorder="1" applyAlignment="1">
      <alignment horizontal="right" vertical="center"/>
    </xf>
    <xf numFmtId="3" fontId="132" fillId="77" borderId="0" xfId="0" applyNumberFormat="1" applyFont="1" applyFill="1" applyBorder="1" applyAlignment="1">
      <alignment horizontal="right" vertical="center"/>
    </xf>
    <xf numFmtId="10" fontId="134" fillId="77" borderId="0" xfId="0" applyNumberFormat="1" applyFont="1" applyFill="1" applyAlignment="1">
      <alignment horizontal="right" vertical="center"/>
    </xf>
    <xf numFmtId="49" fontId="136" fillId="105" borderId="49" xfId="1762" applyNumberFormat="1" applyFont="1" applyFill="1" applyBorder="1" applyAlignment="1">
      <alignment horizontal="center" vertical="center" wrapText="1"/>
    </xf>
    <xf numFmtId="3" fontId="151" fillId="102" borderId="47" xfId="0" applyNumberFormat="1" applyFont="1" applyFill="1" applyBorder="1" applyAlignment="1">
      <alignment horizontal="right" vertical="center" wrapText="1"/>
    </xf>
    <xf numFmtId="3" fontId="151" fillId="77" borderId="47" xfId="0" applyNumberFormat="1" applyFont="1" applyFill="1" applyBorder="1" applyAlignment="1" applyProtection="1">
      <alignment horizontal="right" vertical="center"/>
      <protection hidden="1"/>
    </xf>
    <xf numFmtId="9" fontId="151" fillId="77" borderId="47" xfId="1923" applyFont="1" applyFill="1" applyBorder="1" applyAlignment="1">
      <alignment horizontal="right" vertical="center"/>
    </xf>
    <xf numFmtId="2" fontId="151" fillId="77" borderId="47" xfId="0" applyNumberFormat="1" applyFont="1" applyFill="1" applyBorder="1" applyAlignment="1" applyProtection="1">
      <alignment horizontal="right" vertical="center"/>
      <protection hidden="1"/>
    </xf>
    <xf numFmtId="0" fontId="136" fillId="105" borderId="0" xfId="0" applyFont="1" applyFill="1" applyBorder="1" applyAlignment="1">
      <alignment horizontal="center" vertical="center"/>
    </xf>
    <xf numFmtId="0" fontId="136" fillId="105" borderId="0" xfId="0" applyFont="1" applyFill="1" applyBorder="1" applyAlignment="1">
      <alignment horizontal="center" vertical="center" wrapText="1"/>
    </xf>
    <xf numFmtId="3" fontId="134" fillId="103" borderId="47" xfId="0" applyNumberFormat="1" applyFont="1" applyFill="1" applyBorder="1" applyAlignment="1">
      <alignment horizontal="right" vertical="center"/>
    </xf>
    <xf numFmtId="3" fontId="134" fillId="102" borderId="50" xfId="0" applyNumberFormat="1" applyFont="1" applyFill="1" applyBorder="1" applyAlignment="1">
      <alignment horizontal="left" vertical="center"/>
    </xf>
    <xf numFmtId="0" fontId="136" fillId="105" borderId="47" xfId="0" applyFont="1" applyFill="1" applyBorder="1" applyAlignment="1">
      <alignment horizontal="left" vertical="center"/>
    </xf>
    <xf numFmtId="0" fontId="105" fillId="102" borderId="0" xfId="0" applyFont="1" applyFill="1" applyAlignment="1">
      <alignment vertical="center"/>
    </xf>
    <xf numFmtId="10" fontId="145" fillId="102" borderId="0" xfId="0" applyNumberFormat="1" applyFont="1" applyFill="1" applyAlignment="1">
      <alignment horizontal="right" vertical="center"/>
    </xf>
    <xf numFmtId="0" fontId="133" fillId="77" borderId="52" xfId="0" applyFont="1" applyFill="1" applyBorder="1" applyAlignment="1">
      <alignment horizontal="left" vertical="center"/>
    </xf>
    <xf numFmtId="0" fontId="134" fillId="77" borderId="0" xfId="0" applyFont="1" applyFill="1" applyBorder="1" applyAlignment="1">
      <alignment horizontal="center" vertical="center"/>
    </xf>
    <xf numFmtId="0" fontId="134" fillId="77" borderId="0" xfId="0" applyFont="1" applyFill="1" applyAlignment="1">
      <alignment horizontal="center" vertical="center"/>
    </xf>
    <xf numFmtId="0" fontId="155" fillId="77" borderId="0" xfId="0" applyFont="1" applyFill="1" applyBorder="1" applyAlignment="1">
      <alignment horizontal="center" vertical="center" wrapText="1"/>
    </xf>
    <xf numFmtId="0" fontId="161" fillId="77" borderId="0" xfId="0" applyFont="1" applyFill="1" applyBorder="1" applyAlignment="1">
      <alignment horizontal="right" vertical="center"/>
    </xf>
    <xf numFmtId="0" fontId="128" fillId="77" borderId="0" xfId="0" applyFont="1" applyFill="1" applyAlignment="1">
      <alignment vertical="center"/>
    </xf>
    <xf numFmtId="0" fontId="133" fillId="0" borderId="47" xfId="1785" applyNumberFormat="1" applyFont="1" applyFill="1" applyBorder="1" applyAlignment="1">
      <alignment horizontal="left" vertical="center" wrapText="1"/>
    </xf>
    <xf numFmtId="3" fontId="141" fillId="103" borderId="47" xfId="0" applyNumberFormat="1" applyFont="1" applyFill="1" applyBorder="1" applyAlignment="1">
      <alignment horizontal="right" vertical="center"/>
    </xf>
    <xf numFmtId="0" fontId="139" fillId="77" borderId="0" xfId="1782" applyFont="1" applyFill="1" applyBorder="1" applyAlignment="1">
      <alignment horizontal="left" vertical="center"/>
    </xf>
    <xf numFmtId="49" fontId="141" fillId="102" borderId="47" xfId="0" applyNumberFormat="1" applyFont="1" applyFill="1" applyBorder="1" applyAlignment="1">
      <alignment horizontal="center" vertical="center"/>
    </xf>
    <xf numFmtId="0" fontId="133" fillId="103" borderId="47" xfId="0" applyFont="1" applyFill="1" applyBorder="1" applyAlignment="1">
      <alignment horizontal="right" vertical="center" wrapText="1"/>
    </xf>
    <xf numFmtId="3" fontId="133" fillId="103" borderId="47" xfId="1727" applyNumberFormat="1" applyFont="1" applyFill="1" applyBorder="1" applyAlignment="1">
      <alignment horizontal="right" vertical="center" wrapText="1"/>
    </xf>
    <xf numFmtId="0" fontId="133" fillId="103" borderId="47" xfId="1727" applyFont="1" applyFill="1" applyBorder="1" applyAlignment="1">
      <alignment horizontal="right" vertical="center" wrapText="1"/>
    </xf>
    <xf numFmtId="3" fontId="135" fillId="106" borderId="47" xfId="1743" applyNumberFormat="1" applyFont="1" applyFill="1" applyBorder="1" applyAlignment="1">
      <alignment vertical="center" wrapText="1"/>
    </xf>
    <xf numFmtId="3" fontId="132" fillId="106" borderId="47" xfId="0" applyNumberFormat="1" applyFont="1" applyFill="1" applyBorder="1" applyAlignment="1">
      <alignment horizontal="right" vertical="center"/>
    </xf>
    <xf numFmtId="0" fontId="162" fillId="77" borderId="0" xfId="1782" applyFont="1" applyFill="1" applyAlignment="1">
      <alignment horizontal="center" vertical="center"/>
    </xf>
    <xf numFmtId="0" fontId="136" fillId="105" borderId="49" xfId="0" applyFont="1" applyFill="1" applyBorder="1" applyAlignment="1">
      <alignment horizontal="center" vertical="center"/>
    </xf>
    <xf numFmtId="0" fontId="163" fillId="102" borderId="0" xfId="1503" applyFont="1" applyFill="1" applyAlignment="1" applyProtection="1">
      <alignment vertical="center"/>
    </xf>
    <xf numFmtId="9" fontId="134" fillId="102" borderId="47" xfId="1925" applyNumberFormat="1" applyFont="1" applyFill="1" applyBorder="1" applyAlignment="1">
      <alignment horizontal="center" vertical="center"/>
    </xf>
    <xf numFmtId="0" fontId="136" fillId="105" borderId="47" xfId="1782" applyNumberFormat="1" applyFont="1" applyFill="1" applyBorder="1" applyAlignment="1">
      <alignment horizontal="center" vertical="center"/>
    </xf>
    <xf numFmtId="0" fontId="136" fillId="105" borderId="47" xfId="1782" applyFont="1" applyFill="1" applyBorder="1" applyAlignment="1">
      <alignment horizontal="center" vertical="center"/>
    </xf>
    <xf numFmtId="0" fontId="137" fillId="102" borderId="0" xfId="1782" applyFont="1" applyFill="1" applyAlignment="1">
      <alignment horizontal="left" vertical="center" wrapText="1"/>
    </xf>
    <xf numFmtId="0" fontId="0" fillId="0" borderId="0" xfId="0" applyAlignment="1"/>
    <xf numFmtId="0" fontId="140" fillId="106" borderId="47" xfId="0" applyFont="1" applyFill="1" applyBorder="1"/>
    <xf numFmtId="3" fontId="165" fillId="106" borderId="47" xfId="0" applyNumberFormat="1" applyFont="1" applyFill="1" applyBorder="1" applyAlignment="1">
      <alignment horizontal="center" vertical="center"/>
    </xf>
    <xf numFmtId="0" fontId="140" fillId="108" borderId="47" xfId="0" applyFont="1" applyFill="1" applyBorder="1" applyAlignment="1">
      <alignment vertical="center"/>
    </xf>
    <xf numFmtId="4" fontId="166" fillId="102" borderId="47" xfId="0" applyNumberFormat="1" applyFont="1" applyFill="1" applyBorder="1" applyAlignment="1">
      <alignment horizontal="center" vertical="center"/>
    </xf>
    <xf numFmtId="0" fontId="140" fillId="106" borderId="47" xfId="0" applyFont="1" applyFill="1" applyBorder="1" applyAlignment="1">
      <alignment vertical="center"/>
    </xf>
    <xf numFmtId="172" fontId="166" fillId="102" borderId="47" xfId="0" applyNumberFormat="1" applyFont="1" applyFill="1" applyBorder="1" applyAlignment="1">
      <alignment horizontal="center" vertical="center"/>
    </xf>
    <xf numFmtId="1" fontId="166" fillId="102" borderId="47" xfId="0" applyNumberFormat="1" applyFont="1" applyFill="1" applyBorder="1" applyAlignment="1">
      <alignment horizontal="center" vertical="center"/>
    </xf>
    <xf numFmtId="0" fontId="145" fillId="105" borderId="47" xfId="0" applyFont="1" applyFill="1" applyBorder="1"/>
    <xf numFmtId="0" fontId="167" fillId="105" borderId="47" xfId="0" applyFont="1" applyFill="1" applyBorder="1" applyAlignment="1">
      <alignment horizontal="center" vertical="center"/>
    </xf>
    <xf numFmtId="220" fontId="164" fillId="108" borderId="47" xfId="0" applyNumberFormat="1" applyFont="1" applyFill="1" applyBorder="1" applyAlignment="1">
      <alignment horizontal="center" vertical="center"/>
    </xf>
    <xf numFmtId="49" fontId="132" fillId="106" borderId="49" xfId="0" applyNumberFormat="1" applyFont="1" applyFill="1" applyBorder="1" applyAlignment="1">
      <alignment horizontal="center" vertical="center"/>
    </xf>
    <xf numFmtId="0" fontId="140" fillId="106" borderId="49" xfId="0" applyFont="1" applyFill="1" applyBorder="1" applyAlignment="1">
      <alignment horizontal="left" vertical="center"/>
    </xf>
    <xf numFmtId="3" fontId="140" fillId="106" borderId="49" xfId="0" applyNumberFormat="1" applyFont="1" applyFill="1" applyBorder="1" applyAlignment="1">
      <alignment vertical="center"/>
    </xf>
    <xf numFmtId="0" fontId="117" fillId="0" borderId="0" xfId="0" applyFont="1" applyAlignment="1">
      <alignment vertical="center"/>
    </xf>
    <xf numFmtId="3" fontId="140" fillId="109" borderId="49" xfId="0" applyNumberFormat="1" applyFont="1" applyFill="1" applyBorder="1" applyAlignment="1">
      <alignment vertical="center"/>
    </xf>
    <xf numFmtId="2" fontId="146" fillId="77" borderId="0" xfId="0" applyNumberFormat="1" applyFont="1" applyFill="1" applyAlignment="1">
      <alignment horizontal="center" vertical="center"/>
    </xf>
    <xf numFmtId="0" fontId="132" fillId="106" borderId="47" xfId="1783" applyFont="1" applyFill="1" applyBorder="1" applyAlignment="1">
      <alignment horizontal="left" vertical="center" wrapText="1"/>
    </xf>
    <xf numFmtId="176" fontId="135" fillId="106" borderId="47" xfId="1743" applyNumberFormat="1" applyFont="1" applyFill="1" applyBorder="1" applyAlignment="1">
      <alignment horizontal="right" vertical="center"/>
    </xf>
    <xf numFmtId="0" fontId="169" fillId="77" borderId="0" xfId="0" applyFont="1" applyFill="1"/>
    <xf numFmtId="0" fontId="111" fillId="77" borderId="0" xfId="1503" quotePrefix="1" applyFill="1"/>
    <xf numFmtId="0" fontId="170" fillId="77" borderId="0" xfId="0" applyFont="1" applyFill="1" applyBorder="1"/>
    <xf numFmtId="0" fontId="172" fillId="77" borderId="0" xfId="0" applyFont="1" applyFill="1" applyBorder="1"/>
    <xf numFmtId="0" fontId="169" fillId="77" borderId="0" xfId="0" applyFont="1" applyFill="1" applyBorder="1"/>
    <xf numFmtId="0" fontId="170" fillId="77" borderId="58" xfId="0" applyFont="1" applyFill="1" applyBorder="1"/>
    <xf numFmtId="0" fontId="170" fillId="77" borderId="59" xfId="0" applyFont="1" applyFill="1" applyBorder="1"/>
    <xf numFmtId="0" fontId="170" fillId="77" borderId="60" xfId="0" applyFont="1" applyFill="1" applyBorder="1"/>
    <xf numFmtId="0" fontId="170" fillId="77" borderId="61" xfId="0" applyFont="1" applyFill="1" applyBorder="1"/>
    <xf numFmtId="0" fontId="170" fillId="77" borderId="62" xfId="0" applyFont="1" applyFill="1" applyBorder="1"/>
    <xf numFmtId="0" fontId="173" fillId="77" borderId="61" xfId="0" applyFont="1" applyFill="1" applyBorder="1"/>
    <xf numFmtId="0" fontId="170" fillId="77" borderId="62" xfId="0" applyFont="1" applyFill="1" applyBorder="1" applyAlignment="1">
      <alignment horizontal="center"/>
    </xf>
    <xf numFmtId="0" fontId="170" fillId="77" borderId="63" xfId="0" applyFont="1" applyFill="1" applyBorder="1"/>
    <xf numFmtId="0" fontId="170" fillId="77" borderId="64" xfId="0" applyFont="1" applyFill="1" applyBorder="1"/>
    <xf numFmtId="0" fontId="169" fillId="77" borderId="64" xfId="0" applyFont="1" applyFill="1" applyBorder="1"/>
    <xf numFmtId="0" fontId="0" fillId="0" borderId="65" xfId="0" applyBorder="1"/>
    <xf numFmtId="9" fontId="139" fillId="77" borderId="0" xfId="1782" applyNumberFormat="1" applyFont="1" applyFill="1" applyBorder="1" applyAlignment="1">
      <alignment horizontal="center" vertical="center"/>
    </xf>
    <xf numFmtId="0" fontId="140" fillId="106" borderId="49" xfId="0" applyFont="1" applyFill="1" applyBorder="1" applyAlignment="1">
      <alignment horizontal="center" vertical="center"/>
    </xf>
    <xf numFmtId="0" fontId="141" fillId="104" borderId="47" xfId="0" applyFont="1" applyFill="1" applyBorder="1" applyAlignment="1">
      <alignment horizontal="center" vertical="center"/>
    </xf>
    <xf numFmtId="0" fontId="161" fillId="77" borderId="0" xfId="0" applyFont="1" applyFill="1" applyBorder="1" applyAlignment="1">
      <alignment horizontal="center" vertical="center"/>
    </xf>
    <xf numFmtId="0" fontId="84" fillId="77" borderId="0" xfId="0" applyFont="1" applyFill="1" applyBorder="1" applyAlignment="1">
      <alignment horizontal="center" vertical="center"/>
    </xf>
    <xf numFmtId="0" fontId="111" fillId="102" borderId="0" xfId="1503" applyFill="1" applyAlignment="1" applyProtection="1">
      <alignment vertical="center"/>
    </xf>
    <xf numFmtId="3" fontId="141" fillId="102" borderId="50" xfId="0" applyNumberFormat="1" applyFont="1" applyFill="1" applyBorder="1" applyAlignment="1">
      <alignment horizontal="right" vertical="center"/>
    </xf>
    <xf numFmtId="3" fontId="134" fillId="102" borderId="47" xfId="0" applyNumberFormat="1" applyFont="1" applyFill="1" applyBorder="1" applyAlignment="1">
      <alignment horizontal="center" vertical="center" shrinkToFit="1"/>
    </xf>
    <xf numFmtId="0" fontId="133" fillId="77" borderId="8" xfId="0" applyFont="1" applyFill="1" applyBorder="1" applyAlignment="1">
      <alignment horizontal="left" vertical="center"/>
    </xf>
    <xf numFmtId="3" fontId="132" fillId="77" borderId="34" xfId="0" applyNumberFormat="1" applyFont="1" applyFill="1" applyBorder="1" applyAlignment="1">
      <alignment horizontal="right" vertical="center"/>
    </xf>
    <xf numFmtId="0" fontId="132" fillId="106" borderId="8" xfId="0" applyFont="1" applyFill="1" applyBorder="1" applyAlignment="1">
      <alignment horizontal="left" vertical="center"/>
    </xf>
    <xf numFmtId="3" fontId="132" fillId="106" borderId="8" xfId="0" applyNumberFormat="1" applyFont="1" applyFill="1" applyBorder="1" applyAlignment="1">
      <alignment horizontal="right" vertical="center"/>
    </xf>
    <xf numFmtId="3" fontId="132" fillId="106" borderId="32" xfId="0" applyNumberFormat="1" applyFont="1" applyFill="1" applyBorder="1" applyAlignment="1">
      <alignment horizontal="right" vertical="center"/>
    </xf>
    <xf numFmtId="0" fontId="136" fillId="105" borderId="8" xfId="0" applyFont="1" applyFill="1" applyBorder="1" applyAlignment="1">
      <alignment horizontal="left" vertical="center" wrapText="1"/>
    </xf>
    <xf numFmtId="0" fontId="136" fillId="105" borderId="8" xfId="0" applyFont="1" applyFill="1" applyBorder="1" applyAlignment="1">
      <alignment horizontal="center" vertical="center"/>
    </xf>
    <xf numFmtId="0" fontId="136" fillId="105" borderId="32" xfId="0" applyFont="1" applyFill="1" applyBorder="1" applyAlignment="1">
      <alignment horizontal="center" vertical="center" wrapText="1"/>
    </xf>
    <xf numFmtId="3" fontId="133" fillId="102" borderId="8" xfId="0" applyNumberFormat="1" applyFont="1" applyFill="1" applyBorder="1" applyAlignment="1">
      <alignment horizontal="right" vertical="center"/>
    </xf>
    <xf numFmtId="0" fontId="111" fillId="107" borderId="54" xfId="1503" applyFill="1" applyBorder="1" applyAlignment="1">
      <alignment horizontal="left"/>
    </xf>
    <xf numFmtId="0" fontId="111" fillId="107" borderId="53" xfId="1503" quotePrefix="1" applyFill="1" applyBorder="1" applyAlignment="1">
      <alignment horizontal="left"/>
    </xf>
    <xf numFmtId="0" fontId="111" fillId="107" borderId="34" xfId="1503" quotePrefix="1" applyFill="1" applyBorder="1" applyAlignment="1">
      <alignment horizontal="left"/>
    </xf>
    <xf numFmtId="0" fontId="174" fillId="102" borderId="0" xfId="0" applyFont="1" applyFill="1" applyBorder="1" applyAlignment="1">
      <alignment vertical="center" wrapText="1"/>
    </xf>
    <xf numFmtId="0" fontId="174" fillId="102" borderId="0" xfId="0" applyFont="1" applyFill="1" applyBorder="1" applyAlignment="1"/>
    <xf numFmtId="0" fontId="170" fillId="102" borderId="0" xfId="0" applyFont="1" applyFill="1" applyBorder="1"/>
    <xf numFmtId="0" fontId="175" fillId="102" borderId="0" xfId="0" applyFont="1" applyFill="1" applyBorder="1" applyAlignment="1"/>
    <xf numFmtId="0" fontId="173" fillId="102" borderId="0" xfId="0" applyFont="1" applyFill="1" applyBorder="1" applyAlignment="1">
      <alignment horizontal="left"/>
    </xf>
    <xf numFmtId="0" fontId="176" fillId="102" borderId="0" xfId="0" applyFont="1" applyFill="1" applyBorder="1" applyAlignment="1">
      <alignment horizontal="left"/>
    </xf>
    <xf numFmtId="0" fontId="173" fillId="102" borderId="0" xfId="0" applyFont="1" applyFill="1" applyBorder="1"/>
    <xf numFmtId="0" fontId="136" fillId="105" borderId="34" xfId="0" applyFont="1" applyFill="1" applyBorder="1" applyAlignment="1">
      <alignment horizontal="center" vertical="center"/>
    </xf>
    <xf numFmtId="0" fontId="132" fillId="101" borderId="8" xfId="0" applyFont="1" applyFill="1" applyBorder="1" applyAlignment="1">
      <alignment horizontal="left" vertical="center"/>
    </xf>
    <xf numFmtId="3" fontId="132" fillId="101" borderId="8" xfId="0" applyNumberFormat="1" applyFont="1" applyFill="1" applyBorder="1" applyAlignment="1">
      <alignment horizontal="right" vertical="center"/>
    </xf>
    <xf numFmtId="3" fontId="132" fillId="101" borderId="32" xfId="0" applyNumberFormat="1" applyFont="1" applyFill="1" applyBorder="1" applyAlignment="1">
      <alignment horizontal="right" vertical="center"/>
    </xf>
    <xf numFmtId="0" fontId="160" fillId="107" borderId="8" xfId="0" applyFont="1" applyFill="1" applyBorder="1" applyAlignment="1">
      <alignment horizontal="left" vertical="center"/>
    </xf>
    <xf numFmtId="3" fontId="160" fillId="107" borderId="8" xfId="0" applyNumberFormat="1" applyFont="1" applyFill="1" applyBorder="1" applyAlignment="1">
      <alignment horizontal="right" vertical="center"/>
    </xf>
    <xf numFmtId="3" fontId="160" fillId="107" borderId="32" xfId="0" applyNumberFormat="1" applyFont="1" applyFill="1" applyBorder="1" applyAlignment="1">
      <alignment horizontal="right" vertical="center"/>
    </xf>
    <xf numFmtId="3" fontId="133" fillId="102" borderId="0" xfId="0" applyNumberFormat="1" applyFont="1" applyFill="1" applyBorder="1" applyAlignment="1">
      <alignment horizontal="right" vertical="center"/>
    </xf>
    <xf numFmtId="0" fontId="84" fillId="0" borderId="0" xfId="0" applyFont="1" applyBorder="1" applyAlignment="1">
      <alignment vertical="center"/>
    </xf>
    <xf numFmtId="3" fontId="133" fillId="77" borderId="34" xfId="0" applyNumberFormat="1" applyFont="1" applyFill="1" applyBorder="1" applyAlignment="1">
      <alignment horizontal="right" vertical="center"/>
    </xf>
    <xf numFmtId="49" fontId="84" fillId="107" borderId="0" xfId="0" applyNumberFormat="1" applyFont="1" applyFill="1" applyBorder="1" applyAlignment="1">
      <alignment vertical="center"/>
    </xf>
    <xf numFmtId="0" fontId="132" fillId="107" borderId="8" xfId="0" applyFont="1" applyFill="1" applyBorder="1" applyAlignment="1">
      <alignment horizontal="left" vertical="center"/>
    </xf>
    <xf numFmtId="3" fontId="132" fillId="107" borderId="8" xfId="0" applyNumberFormat="1" applyFont="1" applyFill="1" applyBorder="1" applyAlignment="1">
      <alignment horizontal="right" vertical="center"/>
    </xf>
    <xf numFmtId="3" fontId="132" fillId="107" borderId="32" xfId="0" applyNumberFormat="1" applyFont="1" applyFill="1" applyBorder="1" applyAlignment="1">
      <alignment horizontal="right" vertical="center"/>
    </xf>
    <xf numFmtId="0" fontId="84" fillId="107" borderId="0" xfId="0" applyFont="1" applyFill="1" applyAlignment="1">
      <alignment vertical="center"/>
    </xf>
    <xf numFmtId="0" fontId="135" fillId="111" borderId="47" xfId="1782" applyFont="1" applyFill="1" applyBorder="1" applyAlignment="1">
      <alignment horizontal="left" vertical="center"/>
    </xf>
    <xf numFmtId="9" fontId="135" fillId="111" borderId="47" xfId="1923" applyFont="1" applyFill="1" applyBorder="1" applyAlignment="1">
      <alignment horizontal="center" vertical="center" shrinkToFit="1"/>
    </xf>
    <xf numFmtId="0" fontId="177" fillId="102" borderId="0" xfId="0" applyFont="1" applyFill="1" applyAlignment="1">
      <alignment horizontal="center" vertical="center"/>
    </xf>
    <xf numFmtId="3" fontId="132" fillId="102" borderId="47" xfId="0" applyNumberFormat="1" applyFont="1" applyFill="1" applyBorder="1" applyAlignment="1">
      <alignment horizontal="center" vertical="center"/>
    </xf>
    <xf numFmtId="0" fontId="132" fillId="102" borderId="0" xfId="0" applyFont="1" applyFill="1"/>
    <xf numFmtId="0" fontId="132" fillId="77" borderId="0" xfId="0" applyFont="1" applyFill="1"/>
    <xf numFmtId="0" fontId="142" fillId="77" borderId="0" xfId="1782" applyFont="1" applyFill="1" applyAlignment="1">
      <alignment horizontal="center" vertical="center"/>
    </xf>
    <xf numFmtId="0" fontId="132" fillId="101" borderId="47" xfId="1785" applyNumberFormat="1" applyFont="1" applyFill="1" applyBorder="1" applyAlignment="1">
      <alignment horizontal="center" vertical="center"/>
    </xf>
    <xf numFmtId="3" fontId="134" fillId="107" borderId="47" xfId="1743" applyNumberFormat="1" applyFont="1" applyFill="1" applyBorder="1" applyAlignment="1">
      <alignment vertical="center" wrapText="1"/>
    </xf>
    <xf numFmtId="3" fontId="133" fillId="107" borderId="47" xfId="0" applyNumberFormat="1" applyFont="1" applyFill="1" applyBorder="1" applyAlignment="1">
      <alignment horizontal="right" vertical="center"/>
    </xf>
    <xf numFmtId="0" fontId="103" fillId="102" borderId="0" xfId="0" applyFont="1" applyFill="1" applyAlignment="1">
      <alignment vertical="center"/>
    </xf>
    <xf numFmtId="3" fontId="103" fillId="77" borderId="0" xfId="0" applyNumberFormat="1" applyFont="1" applyFill="1" applyAlignment="1">
      <alignment vertical="center"/>
    </xf>
    <xf numFmtId="3" fontId="103" fillId="102" borderId="0" xfId="0" applyNumberFormat="1" applyFont="1" applyFill="1" applyAlignment="1">
      <alignment vertical="center"/>
    </xf>
    <xf numFmtId="0" fontId="103" fillId="77" borderId="0" xfId="0" applyFont="1" applyFill="1" applyAlignment="1">
      <alignment vertical="center"/>
    </xf>
    <xf numFmtId="173" fontId="103" fillId="102" borderId="0" xfId="1923" applyNumberFormat="1" applyFont="1" applyFill="1" applyAlignment="1">
      <alignment vertical="center"/>
    </xf>
    <xf numFmtId="173" fontId="84" fillId="102" borderId="0" xfId="0" applyNumberFormat="1" applyFont="1" applyFill="1" applyAlignment="1">
      <alignment vertical="center"/>
    </xf>
    <xf numFmtId="17" fontId="136" fillId="105" borderId="68" xfId="0" applyNumberFormat="1" applyFont="1" applyFill="1" applyBorder="1" applyAlignment="1">
      <alignment horizontal="center" vertical="center"/>
    </xf>
    <xf numFmtId="0" fontId="178" fillId="77" borderId="0" xfId="0" applyFont="1" applyFill="1" applyBorder="1" applyAlignment="1">
      <alignment vertical="center"/>
    </xf>
    <xf numFmtId="3" fontId="141" fillId="102" borderId="0" xfId="0" applyNumberFormat="1" applyFont="1" applyFill="1" applyAlignment="1">
      <alignment vertical="center"/>
    </xf>
    <xf numFmtId="3" fontId="133" fillId="77" borderId="0" xfId="0" applyNumberFormat="1" applyFont="1" applyFill="1"/>
    <xf numFmtId="4" fontId="179" fillId="102" borderId="0" xfId="0" applyNumberFormat="1" applyFont="1" applyFill="1" applyBorder="1" applyAlignment="1">
      <alignment horizontal="right" vertical="center"/>
    </xf>
    <xf numFmtId="0" fontId="178" fillId="102" borderId="0" xfId="0" applyFont="1" applyFill="1" applyBorder="1" applyAlignment="1">
      <alignment horizontal="right" vertical="center"/>
    </xf>
    <xf numFmtId="3" fontId="134" fillId="103" borderId="0" xfId="0" applyNumberFormat="1" applyFont="1" applyFill="1" applyBorder="1" applyAlignment="1">
      <alignment vertical="center"/>
    </xf>
    <xf numFmtId="173" fontId="134" fillId="102" borderId="0" xfId="0" applyNumberFormat="1" applyFont="1" applyFill="1"/>
    <xf numFmtId="3" fontId="140" fillId="102" borderId="47" xfId="0" applyNumberFormat="1" applyFont="1" applyFill="1" applyBorder="1" applyAlignment="1">
      <alignment horizontal="right" vertical="center" wrapText="1"/>
    </xf>
    <xf numFmtId="0" fontId="88" fillId="0" borderId="0" xfId="0" applyFont="1" applyAlignment="1">
      <alignment vertical="center" wrapText="1"/>
    </xf>
    <xf numFmtId="49" fontId="133" fillId="77" borderId="47" xfId="0" applyNumberFormat="1" applyFont="1" applyFill="1" applyBorder="1" applyAlignment="1">
      <alignment horizontal="center" vertical="center" wrapText="1"/>
    </xf>
    <xf numFmtId="3" fontId="141" fillId="102" borderId="47" xfId="0" applyNumberFormat="1" applyFont="1" applyFill="1" applyBorder="1" applyAlignment="1">
      <alignment horizontal="right" vertical="center" wrapText="1"/>
    </xf>
    <xf numFmtId="0" fontId="84" fillId="0" borderId="0" xfId="0" applyFont="1" applyAlignment="1">
      <alignment vertical="center" wrapText="1"/>
    </xf>
    <xf numFmtId="0" fontId="141" fillId="0" borderId="47" xfId="0" applyFont="1" applyFill="1" applyBorder="1" applyAlignment="1">
      <alignment horizontal="left" vertical="center" wrapText="1"/>
    </xf>
    <xf numFmtId="0" fontId="168" fillId="112" borderId="0" xfId="0" applyFont="1" applyFill="1" applyAlignment="1">
      <alignment vertical="center"/>
    </xf>
    <xf numFmtId="0" fontId="132" fillId="0" borderId="8" xfId="0" applyFont="1" applyFill="1" applyBorder="1" applyAlignment="1">
      <alignment horizontal="right" vertical="center"/>
    </xf>
    <xf numFmtId="0" fontId="160" fillId="0" borderId="0" xfId="0" applyFont="1" applyFill="1" applyAlignment="1">
      <alignment vertical="center"/>
    </xf>
    <xf numFmtId="0" fontId="133" fillId="0" borderId="8" xfId="0" applyFont="1" applyFill="1" applyBorder="1" applyAlignment="1">
      <alignment horizontal="right" vertical="center"/>
    </xf>
    <xf numFmtId="3" fontId="133" fillId="0" borderId="47" xfId="0" applyNumberFormat="1" applyFont="1" applyFill="1" applyBorder="1" applyAlignment="1">
      <alignment horizontal="right" vertical="center"/>
    </xf>
    <xf numFmtId="0" fontId="141" fillId="0" borderId="0" xfId="0" applyFont="1" applyFill="1" applyAlignment="1">
      <alignment vertical="center"/>
    </xf>
    <xf numFmtId="10" fontId="134" fillId="103" borderId="47" xfId="1923" applyNumberFormat="1" applyFont="1" applyFill="1" applyBorder="1" applyAlignment="1">
      <alignment vertical="center"/>
    </xf>
    <xf numFmtId="0" fontId="133" fillId="77" borderId="50" xfId="0" applyFont="1" applyFill="1" applyBorder="1" applyAlignment="1">
      <alignment horizontal="left" vertical="center" wrapText="1"/>
    </xf>
    <xf numFmtId="0" fontId="134" fillId="0" borderId="51" xfId="1782" applyFont="1" applyFill="1" applyBorder="1" applyAlignment="1">
      <alignment horizontal="left" vertical="center"/>
    </xf>
    <xf numFmtId="14" fontId="134" fillId="0" borderId="47" xfId="1782" applyNumberFormat="1" applyFont="1" applyFill="1" applyBorder="1" applyAlignment="1">
      <alignment horizontal="center" vertical="center"/>
    </xf>
    <xf numFmtId="0" fontId="90" fillId="0" borderId="0" xfId="1782" applyFont="1" applyFill="1" applyAlignment="1">
      <alignment horizontal="center" vertical="top"/>
    </xf>
    <xf numFmtId="49" fontId="140" fillId="109" borderId="49" xfId="0" applyNumberFormat="1" applyFont="1" applyFill="1" applyBorder="1" applyAlignment="1">
      <alignment vertical="center"/>
    </xf>
    <xf numFmtId="0" fontId="134" fillId="0" borderId="47" xfId="0" applyFont="1" applyFill="1" applyBorder="1" applyAlignment="1">
      <alignment horizontal="left" vertical="center" wrapText="1"/>
    </xf>
    <xf numFmtId="3" fontId="134" fillId="0" borderId="50" xfId="0" applyNumberFormat="1" applyFont="1" applyFill="1" applyBorder="1" applyAlignment="1">
      <alignment horizontal="center" vertical="center"/>
    </xf>
    <xf numFmtId="0" fontId="84" fillId="0" borderId="0" xfId="0" applyFont="1" applyFill="1" applyAlignment="1">
      <alignment vertical="center"/>
    </xf>
    <xf numFmtId="49" fontId="133" fillId="77" borderId="50" xfId="0" applyNumberFormat="1" applyFont="1" applyFill="1" applyBorder="1" applyAlignment="1">
      <alignment horizontal="center" vertical="center"/>
    </xf>
    <xf numFmtId="0" fontId="162" fillId="0" borderId="0" xfId="1782" applyFont="1" applyFill="1" applyAlignment="1">
      <alignment horizontal="center" vertical="center"/>
    </xf>
    <xf numFmtId="0" fontId="180" fillId="102" borderId="47" xfId="0" applyFont="1" applyFill="1" applyBorder="1" applyAlignment="1">
      <alignment horizontal="center" vertical="center"/>
    </xf>
    <xf numFmtId="0" fontId="134" fillId="102" borderId="47" xfId="1782" applyFont="1" applyFill="1" applyBorder="1" applyAlignment="1">
      <alignment horizontal="left" vertical="center" wrapText="1"/>
    </xf>
    <xf numFmtId="49" fontId="141" fillId="0" borderId="47" xfId="0" applyNumberFormat="1" applyFont="1" applyFill="1" applyBorder="1" applyAlignment="1">
      <alignment horizontal="center" vertical="center"/>
    </xf>
    <xf numFmtId="0" fontId="134" fillId="0" borderId="50" xfId="1782" applyFont="1" applyFill="1" applyBorder="1" applyAlignment="1">
      <alignment horizontal="left" vertical="center"/>
    </xf>
    <xf numFmtId="0" fontId="133" fillId="0" borderId="0" xfId="0" applyFont="1" applyFill="1"/>
    <xf numFmtId="221" fontId="166" fillId="102" borderId="47" xfId="0" applyNumberFormat="1" applyFont="1" applyFill="1" applyBorder="1" applyAlignment="1">
      <alignment horizontal="center" vertical="center"/>
    </xf>
    <xf numFmtId="49" fontId="133" fillId="77" borderId="50" xfId="1762" applyNumberFormat="1" applyFont="1" applyFill="1" applyBorder="1" applyAlignment="1">
      <alignment horizontal="center" vertical="center"/>
    </xf>
    <xf numFmtId="10" fontId="141" fillId="102" borderId="0" xfId="0" applyNumberFormat="1" applyFont="1" applyFill="1" applyAlignment="1">
      <alignment horizontal="right" vertical="center"/>
    </xf>
    <xf numFmtId="176" fontId="132" fillId="106" borderId="47" xfId="1783" applyNumberFormat="1" applyFont="1" applyFill="1" applyBorder="1" applyAlignment="1">
      <alignment horizontal="right" vertical="center" wrapText="1"/>
    </xf>
    <xf numFmtId="176" fontId="132" fillId="77" borderId="47" xfId="1783" applyNumberFormat="1" applyFont="1" applyFill="1" applyBorder="1" applyAlignment="1">
      <alignment horizontal="right" vertical="center" wrapText="1"/>
    </xf>
    <xf numFmtId="3" fontId="134" fillId="77" borderId="47" xfId="1762" applyNumberFormat="1" applyFont="1" applyFill="1" applyBorder="1" applyAlignment="1">
      <alignment vertical="center" wrapText="1"/>
    </xf>
    <xf numFmtId="176" fontId="134" fillId="77" borderId="47" xfId="1743" applyNumberFormat="1" applyFont="1" applyFill="1" applyBorder="1" applyAlignment="1">
      <alignment vertical="center"/>
    </xf>
    <xf numFmtId="3" fontId="133" fillId="0" borderId="8" xfId="0" applyNumberFormat="1" applyFont="1" applyFill="1" applyBorder="1" applyAlignment="1">
      <alignment horizontal="right" vertical="center"/>
    </xf>
    <xf numFmtId="0" fontId="132" fillId="77" borderId="50" xfId="0" applyFont="1" applyFill="1" applyBorder="1" applyAlignment="1">
      <alignment horizontal="left" vertical="center"/>
    </xf>
    <xf numFmtId="0" fontId="136" fillId="105" borderId="47" xfId="0" applyFont="1" applyFill="1" applyBorder="1" applyAlignment="1">
      <alignment horizontal="center" vertical="center"/>
    </xf>
    <xf numFmtId="0" fontId="84" fillId="77" borderId="8" xfId="0" applyFont="1" applyFill="1" applyBorder="1" applyAlignment="1">
      <alignment horizontal="center"/>
    </xf>
    <xf numFmtId="0" fontId="84" fillId="77" borderId="8" xfId="0" applyFont="1" applyFill="1" applyBorder="1" applyAlignment="1">
      <alignment horizontal="center" wrapText="1"/>
    </xf>
    <xf numFmtId="0" fontId="181" fillId="77" borderId="0" xfId="1782" applyFont="1" applyFill="1" applyAlignment="1">
      <alignment horizontal="left" vertical="top"/>
    </xf>
    <xf numFmtId="0" fontId="134" fillId="77" borderId="47" xfId="1782" applyFont="1" applyFill="1" applyBorder="1" applyAlignment="1">
      <alignment horizontal="center" vertical="center"/>
    </xf>
    <xf numFmtId="9" fontId="134" fillId="103" borderId="47" xfId="1923" applyFont="1" applyFill="1" applyBorder="1" applyAlignment="1">
      <alignment horizontal="center" vertical="center"/>
    </xf>
    <xf numFmtId="0" fontId="136" fillId="105" borderId="34" xfId="0" applyFont="1" applyFill="1" applyBorder="1" applyAlignment="1">
      <alignment horizontal="center" vertical="center"/>
    </xf>
    <xf numFmtId="3" fontId="182" fillId="77" borderId="0" xfId="1782" applyNumberFormat="1" applyFont="1" applyFill="1" applyAlignment="1">
      <alignment horizontal="center" vertical="center"/>
    </xf>
    <xf numFmtId="14" fontId="134" fillId="0" borderId="47" xfId="1782" applyNumberFormat="1" applyFont="1" applyFill="1" applyBorder="1" applyAlignment="1">
      <alignment horizontal="left" vertical="center"/>
    </xf>
    <xf numFmtId="0" fontId="135" fillId="102" borderId="47" xfId="1782" applyNumberFormat="1" applyFont="1" applyFill="1" applyBorder="1" applyAlignment="1">
      <alignment horizontal="center" vertical="center"/>
    </xf>
    <xf numFmtId="0" fontId="136" fillId="105" borderId="32" xfId="0" applyFont="1" applyFill="1" applyBorder="1" applyAlignment="1">
      <alignment horizontal="center" vertical="center"/>
    </xf>
    <xf numFmtId="3" fontId="133" fillId="0" borderId="34" xfId="0" applyNumberFormat="1" applyFont="1" applyFill="1" applyBorder="1" applyAlignment="1">
      <alignment horizontal="right" vertical="center"/>
    </xf>
    <xf numFmtId="0" fontId="134" fillId="113" borderId="47" xfId="0" applyFont="1" applyFill="1" applyBorder="1" applyAlignment="1">
      <alignment horizontal="left" vertical="center" wrapText="1"/>
    </xf>
    <xf numFmtId="0" fontId="134" fillId="114" borderId="47" xfId="0" applyFont="1" applyFill="1" applyBorder="1" applyAlignment="1">
      <alignment horizontal="left" vertical="center" wrapText="1"/>
    </xf>
    <xf numFmtId="0" fontId="134" fillId="77" borderId="0" xfId="1782" applyFont="1" applyFill="1" applyBorder="1" applyAlignment="1">
      <alignment horizontal="left" vertical="center"/>
    </xf>
    <xf numFmtId="3" fontId="134" fillId="103" borderId="0" xfId="0" applyNumberFormat="1" applyFont="1" applyFill="1" applyBorder="1" applyAlignment="1">
      <alignment horizontal="center" vertical="center"/>
    </xf>
    <xf numFmtId="0" fontId="136" fillId="105" borderId="49" xfId="0" applyFont="1" applyFill="1" applyBorder="1" applyAlignment="1">
      <alignment horizontal="center" vertical="center"/>
    </xf>
    <xf numFmtId="0" fontId="134" fillId="77" borderId="47" xfId="1782" applyFont="1" applyFill="1" applyBorder="1" applyAlignment="1">
      <alignment horizontal="left" vertical="center" wrapText="1"/>
    </xf>
    <xf numFmtId="0" fontId="134" fillId="103" borderId="0" xfId="1923" applyNumberFormat="1" applyFont="1" applyFill="1" applyBorder="1" applyAlignment="1">
      <alignment vertical="center"/>
    </xf>
    <xf numFmtId="0" fontId="134" fillId="77" borderId="47" xfId="1782" applyFont="1" applyFill="1" applyBorder="1" applyAlignment="1">
      <alignment horizontal="right" vertical="center"/>
    </xf>
    <xf numFmtId="0" fontId="141" fillId="102" borderId="47" xfId="0" applyFont="1" applyFill="1" applyBorder="1" applyAlignment="1">
      <alignment horizontal="right" vertical="center"/>
    </xf>
    <xf numFmtId="0" fontId="141" fillId="102" borderId="50" xfId="0" applyFont="1" applyFill="1" applyBorder="1" applyAlignment="1">
      <alignment horizontal="right" vertical="center"/>
    </xf>
    <xf numFmtId="0" fontId="140" fillId="106" borderId="49" xfId="0" applyFont="1" applyFill="1" applyBorder="1" applyAlignment="1">
      <alignment horizontal="right" vertical="center"/>
    </xf>
    <xf numFmtId="0" fontId="133" fillId="77" borderId="0" xfId="0" applyFont="1" applyFill="1" applyAlignment="1">
      <alignment horizontal="center"/>
    </xf>
    <xf numFmtId="0" fontId="141" fillId="0" borderId="8" xfId="0" applyFont="1" applyFill="1" applyBorder="1" applyAlignment="1">
      <alignment horizontal="right" vertical="center"/>
    </xf>
    <xf numFmtId="0" fontId="148" fillId="0" borderId="0" xfId="0" applyFont="1" applyFill="1" applyAlignment="1">
      <alignment vertical="center"/>
    </xf>
    <xf numFmtId="4" fontId="134" fillId="103" borderId="47" xfId="0" applyNumberFormat="1" applyFont="1" applyFill="1" applyBorder="1" applyAlignment="1">
      <alignment horizontal="right" vertical="center"/>
    </xf>
    <xf numFmtId="10" fontId="132" fillId="102" borderId="49" xfId="0" applyNumberFormat="1" applyFont="1" applyFill="1" applyBorder="1" applyAlignment="1">
      <alignment horizontal="right" vertical="center"/>
    </xf>
    <xf numFmtId="173" fontId="134" fillId="103" borderId="47" xfId="0" applyNumberFormat="1" applyFont="1" applyFill="1" applyBorder="1" applyAlignment="1">
      <alignment horizontal="right" vertical="center"/>
    </xf>
    <xf numFmtId="173" fontId="134" fillId="103" borderId="52" xfId="0" applyNumberFormat="1" applyFont="1" applyFill="1" applyBorder="1" applyAlignment="1">
      <alignment horizontal="right" vertical="center"/>
    </xf>
    <xf numFmtId="10" fontId="133" fillId="77" borderId="49" xfId="0" applyNumberFormat="1" applyFont="1" applyFill="1" applyBorder="1" applyAlignment="1">
      <alignment horizontal="right" vertical="center"/>
    </xf>
    <xf numFmtId="1" fontId="133" fillId="77" borderId="34" xfId="0" applyNumberFormat="1" applyFont="1" applyFill="1" applyBorder="1" applyAlignment="1">
      <alignment horizontal="center" vertical="center"/>
    </xf>
    <xf numFmtId="0" fontId="134" fillId="0" borderId="50" xfId="0" applyFont="1" applyFill="1" applyBorder="1" applyAlignment="1">
      <alignment horizontal="left" vertical="center" wrapText="1"/>
    </xf>
    <xf numFmtId="3" fontId="141" fillId="102" borderId="50" xfId="0" applyNumberFormat="1" applyFont="1" applyFill="1" applyBorder="1" applyAlignment="1">
      <alignment horizontal="right" vertical="center" wrapText="1"/>
    </xf>
    <xf numFmtId="3" fontId="141" fillId="0" borderId="47" xfId="0" applyNumberFormat="1" applyFont="1" applyFill="1" applyBorder="1" applyAlignment="1">
      <alignment horizontal="right" vertical="center"/>
    </xf>
    <xf numFmtId="3" fontId="133" fillId="77" borderId="8" xfId="0" applyNumberFormat="1" applyFont="1" applyFill="1" applyBorder="1" applyAlignment="1">
      <alignment horizontal="right" vertical="center"/>
    </xf>
    <xf numFmtId="3" fontId="133" fillId="107" borderId="8" xfId="0" applyNumberFormat="1" applyFont="1" applyFill="1" applyBorder="1" applyAlignment="1">
      <alignment horizontal="right" vertical="center"/>
    </xf>
    <xf numFmtId="3" fontId="134" fillId="103" borderId="50" xfId="0" applyNumberFormat="1" applyFont="1" applyFill="1" applyBorder="1" applyAlignment="1">
      <alignment vertical="center"/>
    </xf>
    <xf numFmtId="0" fontId="84" fillId="113" borderId="0" xfId="0" applyFont="1" applyFill="1" applyBorder="1" applyAlignment="1">
      <alignment vertical="center"/>
    </xf>
    <xf numFmtId="0" fontId="141" fillId="113" borderId="47" xfId="0" applyFont="1" applyFill="1" applyBorder="1" applyAlignment="1">
      <alignment horizontal="left" vertical="center"/>
    </xf>
    <xf numFmtId="0" fontId="141" fillId="113" borderId="50" xfId="0" applyFont="1" applyFill="1" applyBorder="1" applyAlignment="1">
      <alignment horizontal="left" vertical="center"/>
    </xf>
    <xf numFmtId="0" fontId="148" fillId="102" borderId="0" xfId="0" applyFont="1" applyFill="1" applyBorder="1" applyAlignment="1">
      <alignment horizontal="right" vertical="center"/>
    </xf>
    <xf numFmtId="0" fontId="133" fillId="102" borderId="0" xfId="0" applyFont="1" applyFill="1" applyAlignment="1">
      <alignment horizontal="right" vertical="center"/>
    </xf>
    <xf numFmtId="0" fontId="141" fillId="102" borderId="8" xfId="0" applyFont="1" applyFill="1" applyBorder="1" applyAlignment="1">
      <alignment horizontal="right" vertical="center"/>
    </xf>
    <xf numFmtId="0" fontId="148" fillId="102" borderId="0" xfId="0" applyFont="1" applyFill="1" applyAlignment="1">
      <alignment vertical="center"/>
    </xf>
    <xf numFmtId="0" fontId="140" fillId="102" borderId="8" xfId="0" applyFont="1" applyFill="1" applyBorder="1" applyAlignment="1">
      <alignment horizontal="right" vertical="center"/>
    </xf>
    <xf numFmtId="0" fontId="160" fillId="102" borderId="0" xfId="0" applyFont="1" applyFill="1" applyAlignment="1">
      <alignment vertical="center"/>
    </xf>
    <xf numFmtId="0" fontId="132" fillId="102" borderId="8" xfId="0" applyFont="1" applyFill="1" applyBorder="1" applyAlignment="1">
      <alignment horizontal="right" vertical="center"/>
    </xf>
    <xf numFmtId="3" fontId="154" fillId="77" borderId="0" xfId="0" applyNumberFormat="1" applyFont="1" applyFill="1" applyAlignment="1">
      <alignment vertical="center"/>
    </xf>
    <xf numFmtId="0" fontId="132" fillId="77" borderId="47" xfId="0" applyFont="1" applyFill="1" applyBorder="1" applyAlignment="1">
      <alignment horizontal="left" vertical="center"/>
    </xf>
    <xf numFmtId="0" fontId="111" fillId="107" borderId="55" xfId="1503" quotePrefix="1" applyFill="1" applyBorder="1" applyAlignment="1">
      <alignment horizontal="left"/>
    </xf>
    <xf numFmtId="0" fontId="111" fillId="107" borderId="56" xfId="1503" quotePrefix="1" applyFill="1" applyBorder="1" applyAlignment="1">
      <alignment horizontal="left"/>
    </xf>
    <xf numFmtId="0" fontId="111" fillId="107" borderId="57" xfId="1503" quotePrefix="1" applyFill="1" applyBorder="1" applyAlignment="1">
      <alignment horizontal="left"/>
    </xf>
    <xf numFmtId="0" fontId="171" fillId="110" borderId="35" xfId="0" applyFont="1" applyFill="1" applyBorder="1" applyAlignment="1">
      <alignment horizontal="center"/>
    </xf>
    <xf numFmtId="0" fontId="171" fillId="110" borderId="36" xfId="0" applyFont="1" applyFill="1" applyBorder="1" applyAlignment="1">
      <alignment horizontal="center"/>
    </xf>
    <xf numFmtId="0" fontId="171" fillId="110" borderId="37" xfId="0" applyFont="1" applyFill="1" applyBorder="1" applyAlignment="1">
      <alignment horizontal="center"/>
    </xf>
    <xf numFmtId="0" fontId="111" fillId="107" borderId="53" xfId="1503" applyFill="1" applyBorder="1" applyAlignment="1">
      <alignment horizontal="left"/>
    </xf>
    <xf numFmtId="0" fontId="111" fillId="107" borderId="34" xfId="1503" applyFill="1" applyBorder="1" applyAlignment="1">
      <alignment horizontal="left"/>
    </xf>
    <xf numFmtId="0" fontId="111" fillId="107" borderId="54" xfId="1503" applyFill="1" applyBorder="1" applyAlignment="1">
      <alignment horizontal="left"/>
    </xf>
    <xf numFmtId="0" fontId="111" fillId="107" borderId="53" xfId="1503" quotePrefix="1" applyFill="1" applyBorder="1" applyAlignment="1">
      <alignment horizontal="left"/>
    </xf>
    <xf numFmtId="0" fontId="111" fillId="107" borderId="34" xfId="1503" quotePrefix="1" applyFill="1" applyBorder="1" applyAlignment="1">
      <alignment horizontal="left"/>
    </xf>
    <xf numFmtId="0" fontId="111" fillId="107" borderId="54" xfId="1503" quotePrefix="1" applyFill="1" applyBorder="1" applyAlignment="1">
      <alignment horizontal="left"/>
    </xf>
    <xf numFmtId="0" fontId="142" fillId="77" borderId="6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41" fillId="104" borderId="47" xfId="0" applyFont="1" applyFill="1" applyBorder="1" applyAlignment="1">
      <alignment horizontal="right" vertical="center"/>
    </xf>
    <xf numFmtId="0" fontId="142" fillId="77" borderId="48" xfId="0" applyFont="1" applyFill="1" applyBorder="1" applyAlignment="1">
      <alignment horizontal="center" vertical="center"/>
    </xf>
    <xf numFmtId="0" fontId="142" fillId="77" borderId="35" xfId="0" applyFont="1" applyFill="1" applyBorder="1" applyAlignment="1">
      <alignment horizontal="center" vertical="center"/>
    </xf>
    <xf numFmtId="0" fontId="142" fillId="77" borderId="36" xfId="0" applyFont="1" applyFill="1" applyBorder="1" applyAlignment="1">
      <alignment horizontal="center" vertical="center"/>
    </xf>
    <xf numFmtId="0" fontId="142" fillId="77" borderId="37" xfId="0" applyFont="1" applyFill="1" applyBorder="1" applyAlignment="1">
      <alignment horizontal="center" vertical="center"/>
    </xf>
    <xf numFmtId="0" fontId="142" fillId="77" borderId="35" xfId="0" applyFont="1" applyFill="1" applyBorder="1" applyAlignment="1">
      <alignment horizontal="center"/>
    </xf>
    <xf numFmtId="0" fontId="142" fillId="77" borderId="36" xfId="0" applyFont="1" applyFill="1" applyBorder="1" applyAlignment="1">
      <alignment horizontal="center"/>
    </xf>
    <xf numFmtId="0" fontId="142" fillId="77" borderId="37" xfId="0" applyFont="1" applyFill="1" applyBorder="1" applyAlignment="1">
      <alignment horizontal="center"/>
    </xf>
    <xf numFmtId="0" fontId="137" fillId="77" borderId="66" xfId="0" applyFont="1" applyFill="1" applyBorder="1" applyAlignment="1">
      <alignment horizontal="center" vertical="center"/>
    </xf>
    <xf numFmtId="0" fontId="137" fillId="77" borderId="12" xfId="0" applyFont="1" applyFill="1" applyBorder="1" applyAlignment="1">
      <alignment horizontal="center" vertical="center"/>
    </xf>
    <xf numFmtId="0" fontId="137" fillId="77" borderId="67" xfId="0" applyFont="1" applyFill="1" applyBorder="1" applyAlignment="1">
      <alignment horizontal="center" vertical="center"/>
    </xf>
    <xf numFmtId="0" fontId="142" fillId="77" borderId="32" xfId="0" applyFont="1" applyFill="1" applyBorder="1" applyAlignment="1">
      <alignment horizontal="center" vertical="center"/>
    </xf>
    <xf numFmtId="0" fontId="142" fillId="77" borderId="34" xfId="0" applyFont="1" applyFill="1" applyBorder="1" applyAlignment="1">
      <alignment horizontal="center" vertical="center"/>
    </xf>
    <xf numFmtId="0" fontId="142" fillId="77" borderId="33" xfId="0" applyFont="1" applyFill="1" applyBorder="1" applyAlignment="1">
      <alignment horizontal="center" vertical="center"/>
    </xf>
    <xf numFmtId="0" fontId="136" fillId="105" borderId="49" xfId="0" applyFont="1" applyFill="1" applyBorder="1" applyAlignment="1">
      <alignment horizontal="center" vertical="center"/>
    </xf>
    <xf numFmtId="0" fontId="157" fillId="77" borderId="0" xfId="0" applyFont="1" applyFill="1" applyAlignment="1">
      <alignment horizontal="center" vertical="center" wrapText="1"/>
    </xf>
    <xf numFmtId="0" fontId="136" fillId="105" borderId="34" xfId="0" applyFont="1" applyFill="1" applyBorder="1" applyAlignment="1">
      <alignment horizontal="center" vertical="center"/>
    </xf>
    <xf numFmtId="3" fontId="136" fillId="105" borderId="48" xfId="0" applyNumberFormat="1" applyFont="1" applyFill="1" applyBorder="1" applyAlignment="1" applyProtection="1">
      <alignment horizontal="center" vertical="center"/>
      <protection hidden="1"/>
    </xf>
    <xf numFmtId="9" fontId="136" fillId="105" borderId="48" xfId="0" applyNumberFormat="1" applyFont="1" applyFill="1" applyBorder="1" applyAlignment="1">
      <alignment horizontal="center" vertical="center"/>
    </xf>
    <xf numFmtId="4" fontId="136" fillId="105" borderId="48" xfId="0" applyNumberFormat="1" applyFont="1" applyFill="1" applyBorder="1" applyAlignment="1">
      <alignment horizontal="center" vertical="center"/>
    </xf>
    <xf numFmtId="172" fontId="136" fillId="105" borderId="48" xfId="0" applyNumberFormat="1" applyFont="1" applyFill="1" applyBorder="1" applyAlignment="1">
      <alignment horizontal="center" vertical="center"/>
    </xf>
  </cellXfs>
  <cellStyles count="2211">
    <cellStyle name="_x000a_bidires=100_x000d_" xfId="1" xr:uid="{00000000-0005-0000-0000-000000000000}"/>
    <cellStyle name="_x000a_bidires=100_x000d_ 2" xfId="2" xr:uid="{00000000-0005-0000-0000-000001000000}"/>
    <cellStyle name="_x000a_bidires=100_x000d_ 3" xfId="3" xr:uid="{00000000-0005-0000-0000-000002000000}"/>
    <cellStyle name="_x000a_bidires=100_x000d_ 4" xfId="4" xr:uid="{00000000-0005-0000-0000-000003000000}"/>
    <cellStyle name="@" xfId="5" xr:uid="{00000000-0005-0000-0000-000004000000}"/>
    <cellStyle name="@ 2" xfId="6" xr:uid="{00000000-0005-0000-0000-000005000000}"/>
    <cellStyle name="@ 3" xfId="7" xr:uid="{00000000-0005-0000-0000-000006000000}"/>
    <cellStyle name="@ 4" xfId="8" xr:uid="{00000000-0005-0000-0000-000007000000}"/>
    <cellStyle name="_Plug" xfId="9" xr:uid="{00000000-0005-0000-0000-000008000000}"/>
    <cellStyle name="_Plug 2" xfId="10" xr:uid="{00000000-0005-0000-0000-000009000000}"/>
    <cellStyle name="_Plug 3" xfId="11" xr:uid="{00000000-0005-0000-0000-00000A000000}"/>
    <cellStyle name="_Plug 4" xfId="12" xr:uid="{00000000-0005-0000-0000-00000B000000}"/>
    <cellStyle name="_Plug_Аренда" xfId="13" xr:uid="{00000000-0005-0000-0000-00000C000000}"/>
    <cellStyle name="_Plug_Аренда 2" xfId="14" xr:uid="{00000000-0005-0000-0000-00000D000000}"/>
    <cellStyle name="_Plug_Аренда 3" xfId="15" xr:uid="{00000000-0005-0000-0000-00000E000000}"/>
    <cellStyle name="_Plug_Аренда 4" xfId="16" xr:uid="{00000000-0005-0000-0000-00000F000000}"/>
    <cellStyle name="_Аренда" xfId="17" xr:uid="{00000000-0005-0000-0000-000010000000}"/>
    <cellStyle name="=C:\WINDOWS\SYSTEM32\COMMAND.COM" xfId="18" xr:uid="{00000000-0005-0000-0000-000011000000}"/>
    <cellStyle name="=C:\WINDOWS\SYSTEM32\COMMAND.COM 2" xfId="19" xr:uid="{00000000-0005-0000-0000-000012000000}"/>
    <cellStyle name="=C:\WINDOWS\SYSTEM32\COMMAND.COM 3" xfId="20" xr:uid="{00000000-0005-0000-0000-000013000000}"/>
    <cellStyle name="=C:\WINDOWS\SYSTEM32\COMMAND.COM 4" xfId="21" xr:uid="{00000000-0005-0000-0000-000014000000}"/>
    <cellStyle name="=C:\WINNT35\SYSTEM32\COMMAND.COM" xfId="22" xr:uid="{00000000-0005-0000-0000-000015000000}"/>
    <cellStyle name="=C:\WINNT35\SYSTEM32\COMMAND.COM 2" xfId="23" xr:uid="{00000000-0005-0000-0000-000016000000}"/>
    <cellStyle name="=C:\WINNT35\SYSTEM32\COMMAND.COM 3" xfId="24" xr:uid="{00000000-0005-0000-0000-000017000000}"/>
    <cellStyle name="=C:\WINNT35\SYSTEM32\COMMAND.COM 4" xfId="25" xr:uid="{00000000-0005-0000-0000-000018000000}"/>
    <cellStyle name="•W_laroux" xfId="26" xr:uid="{00000000-0005-0000-0000-000019000000}"/>
    <cellStyle name="1Normal" xfId="27" xr:uid="{00000000-0005-0000-0000-00001A000000}"/>
    <cellStyle name="20% - Accent1" xfId="28" xr:uid="{00000000-0005-0000-0000-00001B000000}"/>
    <cellStyle name="20% - Accent1 2" xfId="29" xr:uid="{00000000-0005-0000-0000-00001C000000}"/>
    <cellStyle name="20% - Accent1 3" xfId="30" xr:uid="{00000000-0005-0000-0000-00001D000000}"/>
    <cellStyle name="20% - Accent1 4" xfId="31" xr:uid="{00000000-0005-0000-0000-00001E000000}"/>
    <cellStyle name="20% - Accent1 5" xfId="32" xr:uid="{00000000-0005-0000-0000-00001F000000}"/>
    <cellStyle name="20% - Accent1 6" xfId="33" xr:uid="{00000000-0005-0000-0000-000020000000}"/>
    <cellStyle name="20% - Accent2" xfId="34" xr:uid="{00000000-0005-0000-0000-000021000000}"/>
    <cellStyle name="20% - Accent2 2" xfId="35" xr:uid="{00000000-0005-0000-0000-000022000000}"/>
    <cellStyle name="20% - Accent2 3" xfId="36" xr:uid="{00000000-0005-0000-0000-000023000000}"/>
    <cellStyle name="20% - Accent2 4" xfId="37" xr:uid="{00000000-0005-0000-0000-000024000000}"/>
    <cellStyle name="20% - Accent2 5" xfId="38" xr:uid="{00000000-0005-0000-0000-000025000000}"/>
    <cellStyle name="20% - Accent2 6" xfId="39" xr:uid="{00000000-0005-0000-0000-000026000000}"/>
    <cellStyle name="20% - Accent3" xfId="40" xr:uid="{00000000-0005-0000-0000-000027000000}"/>
    <cellStyle name="20% - Accent3 2" xfId="41" xr:uid="{00000000-0005-0000-0000-000028000000}"/>
    <cellStyle name="20% - Accent3 3" xfId="42" xr:uid="{00000000-0005-0000-0000-000029000000}"/>
    <cellStyle name="20% - Accent3 4" xfId="43" xr:uid="{00000000-0005-0000-0000-00002A000000}"/>
    <cellStyle name="20% - Accent3 5" xfId="44" xr:uid="{00000000-0005-0000-0000-00002B000000}"/>
    <cellStyle name="20% - Accent3 6" xfId="45" xr:uid="{00000000-0005-0000-0000-00002C000000}"/>
    <cellStyle name="20% - Accent4" xfId="46" xr:uid="{00000000-0005-0000-0000-00002D000000}"/>
    <cellStyle name="20% - Accent4 2" xfId="47" xr:uid="{00000000-0005-0000-0000-00002E000000}"/>
    <cellStyle name="20% - Accent4 3" xfId="48" xr:uid="{00000000-0005-0000-0000-00002F000000}"/>
    <cellStyle name="20% - Accent4 4" xfId="49" xr:uid="{00000000-0005-0000-0000-000030000000}"/>
    <cellStyle name="20% - Accent4 5" xfId="50" xr:uid="{00000000-0005-0000-0000-000031000000}"/>
    <cellStyle name="20% - Accent4 6" xfId="51" xr:uid="{00000000-0005-0000-0000-000032000000}"/>
    <cellStyle name="20% - Accent5" xfId="52" xr:uid="{00000000-0005-0000-0000-000033000000}"/>
    <cellStyle name="20% - Accent5 2" xfId="53" xr:uid="{00000000-0005-0000-0000-000034000000}"/>
    <cellStyle name="20% - Accent5 3" xfId="54" xr:uid="{00000000-0005-0000-0000-000035000000}"/>
    <cellStyle name="20% - Accent5 4" xfId="55" xr:uid="{00000000-0005-0000-0000-000036000000}"/>
    <cellStyle name="20% - Accent5 5" xfId="56" xr:uid="{00000000-0005-0000-0000-000037000000}"/>
    <cellStyle name="20% - Accent5 6" xfId="57" xr:uid="{00000000-0005-0000-0000-000038000000}"/>
    <cellStyle name="20% - Accent6" xfId="58" xr:uid="{00000000-0005-0000-0000-000039000000}"/>
    <cellStyle name="20% - Accent6 2" xfId="59" xr:uid="{00000000-0005-0000-0000-00003A000000}"/>
    <cellStyle name="20% - Accent6 3" xfId="60" xr:uid="{00000000-0005-0000-0000-00003B000000}"/>
    <cellStyle name="20% - Accent6 4" xfId="61" xr:uid="{00000000-0005-0000-0000-00003C000000}"/>
    <cellStyle name="20% - Accent6 5" xfId="62" xr:uid="{00000000-0005-0000-0000-00003D000000}"/>
    <cellStyle name="20% - Accent6 6" xfId="63" xr:uid="{00000000-0005-0000-0000-00003E000000}"/>
    <cellStyle name="20% - Акцент1 10" xfId="64" xr:uid="{00000000-0005-0000-0000-00003F000000}"/>
    <cellStyle name="20% - Акцент1 2" xfId="65" xr:uid="{00000000-0005-0000-0000-000040000000}"/>
    <cellStyle name="20% - Акцент1 2 2" xfId="66" xr:uid="{00000000-0005-0000-0000-000041000000}"/>
    <cellStyle name="20% - Акцент1 2 2 2" xfId="67" xr:uid="{00000000-0005-0000-0000-000042000000}"/>
    <cellStyle name="20% - Акцент1 2 2 3" xfId="68" xr:uid="{00000000-0005-0000-0000-000043000000}"/>
    <cellStyle name="20% - Акцент1 2 3" xfId="69" xr:uid="{00000000-0005-0000-0000-000044000000}"/>
    <cellStyle name="20% - Акцент1 2 3 2" xfId="70" xr:uid="{00000000-0005-0000-0000-000045000000}"/>
    <cellStyle name="20% - Акцент1 2 3 3" xfId="71" xr:uid="{00000000-0005-0000-0000-000046000000}"/>
    <cellStyle name="20% - Акцент1 2 4" xfId="72" xr:uid="{00000000-0005-0000-0000-000047000000}"/>
    <cellStyle name="20% - Акцент1 2 5" xfId="73" xr:uid="{00000000-0005-0000-0000-000048000000}"/>
    <cellStyle name="20% - Акцент1 2 6" xfId="74" xr:uid="{00000000-0005-0000-0000-000049000000}"/>
    <cellStyle name="20% - Акцент1 2 7" xfId="75" xr:uid="{00000000-0005-0000-0000-00004A000000}"/>
    <cellStyle name="20% - Акцент1 2 8" xfId="76" xr:uid="{00000000-0005-0000-0000-00004B000000}"/>
    <cellStyle name="20% - Акцент1 3" xfId="77" xr:uid="{00000000-0005-0000-0000-00004C000000}"/>
    <cellStyle name="20% - Акцент1 3 2" xfId="78" xr:uid="{00000000-0005-0000-0000-00004D000000}"/>
    <cellStyle name="20% - Акцент1 3 3" xfId="79" xr:uid="{00000000-0005-0000-0000-00004E000000}"/>
    <cellStyle name="20% - Акцент1 3 4" xfId="80" xr:uid="{00000000-0005-0000-0000-00004F000000}"/>
    <cellStyle name="20% - Акцент1 4" xfId="81" xr:uid="{00000000-0005-0000-0000-000050000000}"/>
    <cellStyle name="20% - Акцент1 4 2" xfId="82" xr:uid="{00000000-0005-0000-0000-000051000000}"/>
    <cellStyle name="20% - Акцент1 4 3" xfId="83" xr:uid="{00000000-0005-0000-0000-000052000000}"/>
    <cellStyle name="20% - Акцент1 5" xfId="84" xr:uid="{00000000-0005-0000-0000-000053000000}"/>
    <cellStyle name="20% - Акцент1 5 2" xfId="85" xr:uid="{00000000-0005-0000-0000-000054000000}"/>
    <cellStyle name="20% - Акцент1 5 3" xfId="86" xr:uid="{00000000-0005-0000-0000-000055000000}"/>
    <cellStyle name="20% - Акцент1 6" xfId="87" xr:uid="{00000000-0005-0000-0000-000056000000}"/>
    <cellStyle name="20% - Акцент1 7" xfId="88" xr:uid="{00000000-0005-0000-0000-000057000000}"/>
    <cellStyle name="20% - Акцент1 8" xfId="89" xr:uid="{00000000-0005-0000-0000-000058000000}"/>
    <cellStyle name="20% - Акцент1 9" xfId="90" xr:uid="{00000000-0005-0000-0000-000059000000}"/>
    <cellStyle name="20% - Акцент2 10" xfId="91" xr:uid="{00000000-0005-0000-0000-00005A000000}"/>
    <cellStyle name="20% - Акцент2 2" xfId="92" xr:uid="{00000000-0005-0000-0000-00005B000000}"/>
    <cellStyle name="20% - Акцент2 2 2" xfId="93" xr:uid="{00000000-0005-0000-0000-00005C000000}"/>
    <cellStyle name="20% - Акцент2 2 2 2" xfId="94" xr:uid="{00000000-0005-0000-0000-00005D000000}"/>
    <cellStyle name="20% - Акцент2 2 2 3" xfId="95" xr:uid="{00000000-0005-0000-0000-00005E000000}"/>
    <cellStyle name="20% - Акцент2 2 3" xfId="96" xr:uid="{00000000-0005-0000-0000-00005F000000}"/>
    <cellStyle name="20% - Акцент2 2 3 2" xfId="97" xr:uid="{00000000-0005-0000-0000-000060000000}"/>
    <cellStyle name="20% - Акцент2 2 3 3" xfId="98" xr:uid="{00000000-0005-0000-0000-000061000000}"/>
    <cellStyle name="20% - Акцент2 2 4" xfId="99" xr:uid="{00000000-0005-0000-0000-000062000000}"/>
    <cellStyle name="20% - Акцент2 2 5" xfId="100" xr:uid="{00000000-0005-0000-0000-000063000000}"/>
    <cellStyle name="20% - Акцент2 2 6" xfId="101" xr:uid="{00000000-0005-0000-0000-000064000000}"/>
    <cellStyle name="20% - Акцент2 2 7" xfId="102" xr:uid="{00000000-0005-0000-0000-000065000000}"/>
    <cellStyle name="20% - Акцент2 2 8" xfId="103" xr:uid="{00000000-0005-0000-0000-000066000000}"/>
    <cellStyle name="20% - Акцент2 3" xfId="104" xr:uid="{00000000-0005-0000-0000-000067000000}"/>
    <cellStyle name="20% - Акцент2 3 2" xfId="105" xr:uid="{00000000-0005-0000-0000-000068000000}"/>
    <cellStyle name="20% - Акцент2 3 3" xfId="106" xr:uid="{00000000-0005-0000-0000-000069000000}"/>
    <cellStyle name="20% - Акцент2 3 4" xfId="107" xr:uid="{00000000-0005-0000-0000-00006A000000}"/>
    <cellStyle name="20% - Акцент2 4" xfId="108" xr:uid="{00000000-0005-0000-0000-00006B000000}"/>
    <cellStyle name="20% - Акцент2 4 2" xfId="109" xr:uid="{00000000-0005-0000-0000-00006C000000}"/>
    <cellStyle name="20% - Акцент2 4 3" xfId="110" xr:uid="{00000000-0005-0000-0000-00006D000000}"/>
    <cellStyle name="20% - Акцент2 5" xfId="111" xr:uid="{00000000-0005-0000-0000-00006E000000}"/>
    <cellStyle name="20% - Акцент2 5 2" xfId="112" xr:uid="{00000000-0005-0000-0000-00006F000000}"/>
    <cellStyle name="20% - Акцент2 5 3" xfId="113" xr:uid="{00000000-0005-0000-0000-000070000000}"/>
    <cellStyle name="20% - Акцент2 6" xfId="114" xr:uid="{00000000-0005-0000-0000-000071000000}"/>
    <cellStyle name="20% - Акцент2 7" xfId="115" xr:uid="{00000000-0005-0000-0000-000072000000}"/>
    <cellStyle name="20% - Акцент2 8" xfId="116" xr:uid="{00000000-0005-0000-0000-000073000000}"/>
    <cellStyle name="20% - Акцент2 9" xfId="117" xr:uid="{00000000-0005-0000-0000-000074000000}"/>
    <cellStyle name="20% - Акцент3 10" xfId="118" xr:uid="{00000000-0005-0000-0000-000075000000}"/>
    <cellStyle name="20% - Акцент3 2" xfId="119" xr:uid="{00000000-0005-0000-0000-000076000000}"/>
    <cellStyle name="20% - Акцент3 2 2" xfId="120" xr:uid="{00000000-0005-0000-0000-000077000000}"/>
    <cellStyle name="20% - Акцент3 2 2 2" xfId="121" xr:uid="{00000000-0005-0000-0000-000078000000}"/>
    <cellStyle name="20% - Акцент3 2 2 3" xfId="122" xr:uid="{00000000-0005-0000-0000-000079000000}"/>
    <cellStyle name="20% - Акцент3 2 3" xfId="123" xr:uid="{00000000-0005-0000-0000-00007A000000}"/>
    <cellStyle name="20% - Акцент3 2 3 2" xfId="124" xr:uid="{00000000-0005-0000-0000-00007B000000}"/>
    <cellStyle name="20% - Акцент3 2 3 3" xfId="125" xr:uid="{00000000-0005-0000-0000-00007C000000}"/>
    <cellStyle name="20% - Акцент3 2 4" xfId="126" xr:uid="{00000000-0005-0000-0000-00007D000000}"/>
    <cellStyle name="20% - Акцент3 2 5" xfId="127" xr:uid="{00000000-0005-0000-0000-00007E000000}"/>
    <cellStyle name="20% - Акцент3 2 6" xfId="128" xr:uid="{00000000-0005-0000-0000-00007F000000}"/>
    <cellStyle name="20% - Акцент3 2 7" xfId="129" xr:uid="{00000000-0005-0000-0000-000080000000}"/>
    <cellStyle name="20% - Акцент3 2 8" xfId="130" xr:uid="{00000000-0005-0000-0000-000081000000}"/>
    <cellStyle name="20% - Акцент3 3" xfId="131" xr:uid="{00000000-0005-0000-0000-000082000000}"/>
    <cellStyle name="20% - Акцент3 3 2" xfId="132" xr:uid="{00000000-0005-0000-0000-000083000000}"/>
    <cellStyle name="20% - Акцент3 3 3" xfId="133" xr:uid="{00000000-0005-0000-0000-000084000000}"/>
    <cellStyle name="20% - Акцент3 3 4" xfId="134" xr:uid="{00000000-0005-0000-0000-000085000000}"/>
    <cellStyle name="20% - Акцент3 4" xfId="135" xr:uid="{00000000-0005-0000-0000-000086000000}"/>
    <cellStyle name="20% - Акцент3 4 2" xfId="136" xr:uid="{00000000-0005-0000-0000-000087000000}"/>
    <cellStyle name="20% - Акцент3 4 3" xfId="137" xr:uid="{00000000-0005-0000-0000-000088000000}"/>
    <cellStyle name="20% - Акцент3 5" xfId="138" xr:uid="{00000000-0005-0000-0000-000089000000}"/>
    <cellStyle name="20% - Акцент3 5 2" xfId="139" xr:uid="{00000000-0005-0000-0000-00008A000000}"/>
    <cellStyle name="20% - Акцент3 5 3" xfId="140" xr:uid="{00000000-0005-0000-0000-00008B000000}"/>
    <cellStyle name="20% - Акцент3 6" xfId="141" xr:uid="{00000000-0005-0000-0000-00008C000000}"/>
    <cellStyle name="20% - Акцент3 7" xfId="142" xr:uid="{00000000-0005-0000-0000-00008D000000}"/>
    <cellStyle name="20% - Акцент3 8" xfId="143" xr:uid="{00000000-0005-0000-0000-00008E000000}"/>
    <cellStyle name="20% - Акцент3 9" xfId="144" xr:uid="{00000000-0005-0000-0000-00008F000000}"/>
    <cellStyle name="20% - Акцент4 10" xfId="145" xr:uid="{00000000-0005-0000-0000-000090000000}"/>
    <cellStyle name="20% - Акцент4 2" xfId="146" xr:uid="{00000000-0005-0000-0000-000091000000}"/>
    <cellStyle name="20% - Акцент4 2 2" xfId="147" xr:uid="{00000000-0005-0000-0000-000092000000}"/>
    <cellStyle name="20% - Акцент4 2 2 2" xfId="148" xr:uid="{00000000-0005-0000-0000-000093000000}"/>
    <cellStyle name="20% - Акцент4 2 2 3" xfId="149" xr:uid="{00000000-0005-0000-0000-000094000000}"/>
    <cellStyle name="20% - Акцент4 2 3" xfId="150" xr:uid="{00000000-0005-0000-0000-000095000000}"/>
    <cellStyle name="20% - Акцент4 2 3 2" xfId="151" xr:uid="{00000000-0005-0000-0000-000096000000}"/>
    <cellStyle name="20% - Акцент4 2 3 3" xfId="152" xr:uid="{00000000-0005-0000-0000-000097000000}"/>
    <cellStyle name="20% - Акцент4 2 4" xfId="153" xr:uid="{00000000-0005-0000-0000-000098000000}"/>
    <cellStyle name="20% - Акцент4 2 5" xfId="154" xr:uid="{00000000-0005-0000-0000-000099000000}"/>
    <cellStyle name="20% - Акцент4 2 6" xfId="155" xr:uid="{00000000-0005-0000-0000-00009A000000}"/>
    <cellStyle name="20% - Акцент4 2 7" xfId="156" xr:uid="{00000000-0005-0000-0000-00009B000000}"/>
    <cellStyle name="20% - Акцент4 2 8" xfId="157" xr:uid="{00000000-0005-0000-0000-00009C000000}"/>
    <cellStyle name="20% - Акцент4 3" xfId="158" xr:uid="{00000000-0005-0000-0000-00009D000000}"/>
    <cellStyle name="20% - Акцент4 3 2" xfId="159" xr:uid="{00000000-0005-0000-0000-00009E000000}"/>
    <cellStyle name="20% - Акцент4 3 3" xfId="160" xr:uid="{00000000-0005-0000-0000-00009F000000}"/>
    <cellStyle name="20% - Акцент4 3 4" xfId="161" xr:uid="{00000000-0005-0000-0000-0000A0000000}"/>
    <cellStyle name="20% - Акцент4 4" xfId="162" xr:uid="{00000000-0005-0000-0000-0000A1000000}"/>
    <cellStyle name="20% - Акцент4 4 2" xfId="163" xr:uid="{00000000-0005-0000-0000-0000A2000000}"/>
    <cellStyle name="20% - Акцент4 4 3" xfId="164" xr:uid="{00000000-0005-0000-0000-0000A3000000}"/>
    <cellStyle name="20% - Акцент4 5" xfId="165" xr:uid="{00000000-0005-0000-0000-0000A4000000}"/>
    <cellStyle name="20% - Акцент4 5 2" xfId="166" xr:uid="{00000000-0005-0000-0000-0000A5000000}"/>
    <cellStyle name="20% - Акцент4 5 3" xfId="167" xr:uid="{00000000-0005-0000-0000-0000A6000000}"/>
    <cellStyle name="20% - Акцент4 6" xfId="168" xr:uid="{00000000-0005-0000-0000-0000A7000000}"/>
    <cellStyle name="20% - Акцент4 7" xfId="169" xr:uid="{00000000-0005-0000-0000-0000A8000000}"/>
    <cellStyle name="20% - Акцент4 8" xfId="170" xr:uid="{00000000-0005-0000-0000-0000A9000000}"/>
    <cellStyle name="20% - Акцент4 9" xfId="171" xr:uid="{00000000-0005-0000-0000-0000AA000000}"/>
    <cellStyle name="20% - Акцент5 10" xfId="172" xr:uid="{00000000-0005-0000-0000-0000AB000000}"/>
    <cellStyle name="20% - Акцент5 2" xfId="173" xr:uid="{00000000-0005-0000-0000-0000AC000000}"/>
    <cellStyle name="20% - Акцент5 2 2" xfId="174" xr:uid="{00000000-0005-0000-0000-0000AD000000}"/>
    <cellStyle name="20% - Акцент5 2 2 2" xfId="175" xr:uid="{00000000-0005-0000-0000-0000AE000000}"/>
    <cellStyle name="20% - Акцент5 2 2 3" xfId="176" xr:uid="{00000000-0005-0000-0000-0000AF000000}"/>
    <cellStyle name="20% - Акцент5 2 3" xfId="177" xr:uid="{00000000-0005-0000-0000-0000B0000000}"/>
    <cellStyle name="20% - Акцент5 2 3 2" xfId="178" xr:uid="{00000000-0005-0000-0000-0000B1000000}"/>
    <cellStyle name="20% - Акцент5 2 3 3" xfId="179" xr:uid="{00000000-0005-0000-0000-0000B2000000}"/>
    <cellStyle name="20% - Акцент5 2 4" xfId="180" xr:uid="{00000000-0005-0000-0000-0000B3000000}"/>
    <cellStyle name="20% - Акцент5 2 5" xfId="181" xr:uid="{00000000-0005-0000-0000-0000B4000000}"/>
    <cellStyle name="20% - Акцент5 2 6" xfId="182" xr:uid="{00000000-0005-0000-0000-0000B5000000}"/>
    <cellStyle name="20% - Акцент5 2 7" xfId="183" xr:uid="{00000000-0005-0000-0000-0000B6000000}"/>
    <cellStyle name="20% - Акцент5 2 8" xfId="184" xr:uid="{00000000-0005-0000-0000-0000B7000000}"/>
    <cellStyle name="20% - Акцент5 3" xfId="185" xr:uid="{00000000-0005-0000-0000-0000B8000000}"/>
    <cellStyle name="20% - Акцент5 3 2" xfId="186" xr:uid="{00000000-0005-0000-0000-0000B9000000}"/>
    <cellStyle name="20% - Акцент5 3 3" xfId="187" xr:uid="{00000000-0005-0000-0000-0000BA000000}"/>
    <cellStyle name="20% - Акцент5 3 4" xfId="188" xr:uid="{00000000-0005-0000-0000-0000BB000000}"/>
    <cellStyle name="20% - Акцент5 4" xfId="189" xr:uid="{00000000-0005-0000-0000-0000BC000000}"/>
    <cellStyle name="20% - Акцент5 4 2" xfId="190" xr:uid="{00000000-0005-0000-0000-0000BD000000}"/>
    <cellStyle name="20% - Акцент5 4 3" xfId="191" xr:uid="{00000000-0005-0000-0000-0000BE000000}"/>
    <cellStyle name="20% - Акцент5 5" xfId="192" xr:uid="{00000000-0005-0000-0000-0000BF000000}"/>
    <cellStyle name="20% - Акцент5 5 2" xfId="193" xr:uid="{00000000-0005-0000-0000-0000C0000000}"/>
    <cellStyle name="20% - Акцент5 5 3" xfId="194" xr:uid="{00000000-0005-0000-0000-0000C1000000}"/>
    <cellStyle name="20% - Акцент5 6" xfId="195" xr:uid="{00000000-0005-0000-0000-0000C2000000}"/>
    <cellStyle name="20% - Акцент5 7" xfId="196" xr:uid="{00000000-0005-0000-0000-0000C3000000}"/>
    <cellStyle name="20% - Акцент5 8" xfId="197" xr:uid="{00000000-0005-0000-0000-0000C4000000}"/>
    <cellStyle name="20% - Акцент5 9" xfId="198" xr:uid="{00000000-0005-0000-0000-0000C5000000}"/>
    <cellStyle name="20% - Акцент6 10" xfId="199" xr:uid="{00000000-0005-0000-0000-0000C6000000}"/>
    <cellStyle name="20% - Акцент6 11" xfId="200" xr:uid="{00000000-0005-0000-0000-0000C7000000}"/>
    <cellStyle name="20% - Акцент6 2" xfId="201" xr:uid="{00000000-0005-0000-0000-0000C8000000}"/>
    <cellStyle name="20% - Акцент6 2 2" xfId="202" xr:uid="{00000000-0005-0000-0000-0000C9000000}"/>
    <cellStyle name="20% - Акцент6 2 2 2" xfId="203" xr:uid="{00000000-0005-0000-0000-0000CA000000}"/>
    <cellStyle name="20% - Акцент6 2 2 3" xfId="204" xr:uid="{00000000-0005-0000-0000-0000CB000000}"/>
    <cellStyle name="20% - Акцент6 2 3" xfId="205" xr:uid="{00000000-0005-0000-0000-0000CC000000}"/>
    <cellStyle name="20% - Акцент6 2 3 2" xfId="206" xr:uid="{00000000-0005-0000-0000-0000CD000000}"/>
    <cellStyle name="20% - Акцент6 2 3 3" xfId="207" xr:uid="{00000000-0005-0000-0000-0000CE000000}"/>
    <cellStyle name="20% - Акцент6 2 4" xfId="208" xr:uid="{00000000-0005-0000-0000-0000CF000000}"/>
    <cellStyle name="20% - Акцент6 2 5" xfId="209" xr:uid="{00000000-0005-0000-0000-0000D0000000}"/>
    <cellStyle name="20% - Акцент6 2 6" xfId="210" xr:uid="{00000000-0005-0000-0000-0000D1000000}"/>
    <cellStyle name="20% - Акцент6 2 7" xfId="211" xr:uid="{00000000-0005-0000-0000-0000D2000000}"/>
    <cellStyle name="20% - Акцент6 2 8" xfId="212" xr:uid="{00000000-0005-0000-0000-0000D3000000}"/>
    <cellStyle name="20% - Акцент6 3" xfId="213" xr:uid="{00000000-0005-0000-0000-0000D4000000}"/>
    <cellStyle name="20% - Акцент6 3 2" xfId="214" xr:uid="{00000000-0005-0000-0000-0000D5000000}"/>
    <cellStyle name="20% - Акцент6 3 3" xfId="215" xr:uid="{00000000-0005-0000-0000-0000D6000000}"/>
    <cellStyle name="20% - Акцент6 3 4" xfId="216" xr:uid="{00000000-0005-0000-0000-0000D7000000}"/>
    <cellStyle name="20% - Акцент6 4" xfId="217" xr:uid="{00000000-0005-0000-0000-0000D8000000}"/>
    <cellStyle name="20% - Акцент6 4 2" xfId="218" xr:uid="{00000000-0005-0000-0000-0000D9000000}"/>
    <cellStyle name="20% - Акцент6 4 3" xfId="219" xr:uid="{00000000-0005-0000-0000-0000DA000000}"/>
    <cellStyle name="20% - Акцент6 5" xfId="220" xr:uid="{00000000-0005-0000-0000-0000DB000000}"/>
    <cellStyle name="20% - Акцент6 5 2" xfId="221" xr:uid="{00000000-0005-0000-0000-0000DC000000}"/>
    <cellStyle name="20% - Акцент6 5 3" xfId="222" xr:uid="{00000000-0005-0000-0000-0000DD000000}"/>
    <cellStyle name="20% - Акцент6 6" xfId="223" xr:uid="{00000000-0005-0000-0000-0000DE000000}"/>
    <cellStyle name="20% - Акцент6 7" xfId="224" xr:uid="{00000000-0005-0000-0000-0000DF000000}"/>
    <cellStyle name="20% - Акцент6 8" xfId="225" xr:uid="{00000000-0005-0000-0000-0000E0000000}"/>
    <cellStyle name="20% - Акцент6 9" xfId="226" xr:uid="{00000000-0005-0000-0000-0000E1000000}"/>
    <cellStyle name="40% - Accent1" xfId="227" xr:uid="{00000000-0005-0000-0000-0000E2000000}"/>
    <cellStyle name="40% - Accent1 2" xfId="228" xr:uid="{00000000-0005-0000-0000-0000E3000000}"/>
    <cellStyle name="40% - Accent1 3" xfId="229" xr:uid="{00000000-0005-0000-0000-0000E4000000}"/>
    <cellStyle name="40% - Accent1 4" xfId="230" xr:uid="{00000000-0005-0000-0000-0000E5000000}"/>
    <cellStyle name="40% - Accent1 5" xfId="231" xr:uid="{00000000-0005-0000-0000-0000E6000000}"/>
    <cellStyle name="40% - Accent1 6" xfId="232" xr:uid="{00000000-0005-0000-0000-0000E7000000}"/>
    <cellStyle name="40% - Accent2" xfId="233" xr:uid="{00000000-0005-0000-0000-0000E8000000}"/>
    <cellStyle name="40% - Accent2 2" xfId="234" xr:uid="{00000000-0005-0000-0000-0000E9000000}"/>
    <cellStyle name="40% - Accent2 3" xfId="235" xr:uid="{00000000-0005-0000-0000-0000EA000000}"/>
    <cellStyle name="40% - Accent2 4" xfId="236" xr:uid="{00000000-0005-0000-0000-0000EB000000}"/>
    <cellStyle name="40% - Accent2 5" xfId="237" xr:uid="{00000000-0005-0000-0000-0000EC000000}"/>
    <cellStyle name="40% - Accent2 6" xfId="238" xr:uid="{00000000-0005-0000-0000-0000ED000000}"/>
    <cellStyle name="40% - Accent3" xfId="239" xr:uid="{00000000-0005-0000-0000-0000EE000000}"/>
    <cellStyle name="40% - Accent3 2" xfId="240" xr:uid="{00000000-0005-0000-0000-0000EF000000}"/>
    <cellStyle name="40% - Accent3 3" xfId="241" xr:uid="{00000000-0005-0000-0000-0000F0000000}"/>
    <cellStyle name="40% - Accent3 4" xfId="242" xr:uid="{00000000-0005-0000-0000-0000F1000000}"/>
    <cellStyle name="40% - Accent3 5" xfId="243" xr:uid="{00000000-0005-0000-0000-0000F2000000}"/>
    <cellStyle name="40% - Accent3 6" xfId="244" xr:uid="{00000000-0005-0000-0000-0000F3000000}"/>
    <cellStyle name="40% - Accent4" xfId="245" xr:uid="{00000000-0005-0000-0000-0000F4000000}"/>
    <cellStyle name="40% - Accent4 2" xfId="246" xr:uid="{00000000-0005-0000-0000-0000F5000000}"/>
    <cellStyle name="40% - Accent4 3" xfId="247" xr:uid="{00000000-0005-0000-0000-0000F6000000}"/>
    <cellStyle name="40% - Accent4 4" xfId="248" xr:uid="{00000000-0005-0000-0000-0000F7000000}"/>
    <cellStyle name="40% - Accent4 5" xfId="249" xr:uid="{00000000-0005-0000-0000-0000F8000000}"/>
    <cellStyle name="40% - Accent4 6" xfId="250" xr:uid="{00000000-0005-0000-0000-0000F9000000}"/>
    <cellStyle name="40% - Accent5" xfId="251" xr:uid="{00000000-0005-0000-0000-0000FA000000}"/>
    <cellStyle name="40% - Accent5 2" xfId="252" xr:uid="{00000000-0005-0000-0000-0000FB000000}"/>
    <cellStyle name="40% - Accent5 3" xfId="253" xr:uid="{00000000-0005-0000-0000-0000FC000000}"/>
    <cellStyle name="40% - Accent5 4" xfId="254" xr:uid="{00000000-0005-0000-0000-0000FD000000}"/>
    <cellStyle name="40% - Accent5 5" xfId="255" xr:uid="{00000000-0005-0000-0000-0000FE000000}"/>
    <cellStyle name="40% - Accent5 6" xfId="256" xr:uid="{00000000-0005-0000-0000-0000FF000000}"/>
    <cellStyle name="40% - Accent6" xfId="257" xr:uid="{00000000-0005-0000-0000-000000010000}"/>
    <cellStyle name="40% - Accent6 2" xfId="258" xr:uid="{00000000-0005-0000-0000-000001010000}"/>
    <cellStyle name="40% - Accent6 3" xfId="259" xr:uid="{00000000-0005-0000-0000-000002010000}"/>
    <cellStyle name="40% - Accent6 4" xfId="260" xr:uid="{00000000-0005-0000-0000-000003010000}"/>
    <cellStyle name="40% - Accent6 5" xfId="261" xr:uid="{00000000-0005-0000-0000-000004010000}"/>
    <cellStyle name="40% - Accent6 6" xfId="262" xr:uid="{00000000-0005-0000-0000-000005010000}"/>
    <cellStyle name="40% - Акцент1 10" xfId="263" xr:uid="{00000000-0005-0000-0000-000006010000}"/>
    <cellStyle name="40% - Акцент1 2" xfId="264" xr:uid="{00000000-0005-0000-0000-000007010000}"/>
    <cellStyle name="40% - Акцент1 2 2" xfId="265" xr:uid="{00000000-0005-0000-0000-000008010000}"/>
    <cellStyle name="40% - Акцент1 2 2 2" xfId="266" xr:uid="{00000000-0005-0000-0000-000009010000}"/>
    <cellStyle name="40% - Акцент1 2 2 3" xfId="267" xr:uid="{00000000-0005-0000-0000-00000A010000}"/>
    <cellStyle name="40% - Акцент1 2 3" xfId="268" xr:uid="{00000000-0005-0000-0000-00000B010000}"/>
    <cellStyle name="40% - Акцент1 2 3 2" xfId="269" xr:uid="{00000000-0005-0000-0000-00000C010000}"/>
    <cellStyle name="40% - Акцент1 2 3 3" xfId="270" xr:uid="{00000000-0005-0000-0000-00000D010000}"/>
    <cellStyle name="40% - Акцент1 2 4" xfId="271" xr:uid="{00000000-0005-0000-0000-00000E010000}"/>
    <cellStyle name="40% - Акцент1 2 5" xfId="272" xr:uid="{00000000-0005-0000-0000-00000F010000}"/>
    <cellStyle name="40% - Акцент1 2 6" xfId="273" xr:uid="{00000000-0005-0000-0000-000010010000}"/>
    <cellStyle name="40% - Акцент1 2 7" xfId="274" xr:uid="{00000000-0005-0000-0000-000011010000}"/>
    <cellStyle name="40% - Акцент1 2 8" xfId="275" xr:uid="{00000000-0005-0000-0000-000012010000}"/>
    <cellStyle name="40% - Акцент1 3" xfId="276" xr:uid="{00000000-0005-0000-0000-000013010000}"/>
    <cellStyle name="40% - Акцент1 3 2" xfId="277" xr:uid="{00000000-0005-0000-0000-000014010000}"/>
    <cellStyle name="40% - Акцент1 3 3" xfId="278" xr:uid="{00000000-0005-0000-0000-000015010000}"/>
    <cellStyle name="40% - Акцент1 3 4" xfId="279" xr:uid="{00000000-0005-0000-0000-000016010000}"/>
    <cellStyle name="40% - Акцент1 4" xfId="280" xr:uid="{00000000-0005-0000-0000-000017010000}"/>
    <cellStyle name="40% - Акцент1 4 2" xfId="281" xr:uid="{00000000-0005-0000-0000-000018010000}"/>
    <cellStyle name="40% - Акцент1 4 3" xfId="282" xr:uid="{00000000-0005-0000-0000-000019010000}"/>
    <cellStyle name="40% - Акцент1 5" xfId="283" xr:uid="{00000000-0005-0000-0000-00001A010000}"/>
    <cellStyle name="40% - Акцент1 5 2" xfId="284" xr:uid="{00000000-0005-0000-0000-00001B010000}"/>
    <cellStyle name="40% - Акцент1 5 3" xfId="285" xr:uid="{00000000-0005-0000-0000-00001C010000}"/>
    <cellStyle name="40% - Акцент1 6" xfId="286" xr:uid="{00000000-0005-0000-0000-00001D010000}"/>
    <cellStyle name="40% - Акцент1 7" xfId="287" xr:uid="{00000000-0005-0000-0000-00001E010000}"/>
    <cellStyle name="40% - Акцент1 8" xfId="288" xr:uid="{00000000-0005-0000-0000-00001F010000}"/>
    <cellStyle name="40% - Акцент1 9" xfId="289" xr:uid="{00000000-0005-0000-0000-000020010000}"/>
    <cellStyle name="40% - Акцент2 10" xfId="290" xr:uid="{00000000-0005-0000-0000-000021010000}"/>
    <cellStyle name="40% - Акцент2 2" xfId="291" xr:uid="{00000000-0005-0000-0000-000022010000}"/>
    <cellStyle name="40% - Акцент2 2 2" xfId="292" xr:uid="{00000000-0005-0000-0000-000023010000}"/>
    <cellStyle name="40% - Акцент2 2 2 2" xfId="293" xr:uid="{00000000-0005-0000-0000-000024010000}"/>
    <cellStyle name="40% - Акцент2 2 2 3" xfId="294" xr:uid="{00000000-0005-0000-0000-000025010000}"/>
    <cellStyle name="40% - Акцент2 2 3" xfId="295" xr:uid="{00000000-0005-0000-0000-000026010000}"/>
    <cellStyle name="40% - Акцент2 2 3 2" xfId="296" xr:uid="{00000000-0005-0000-0000-000027010000}"/>
    <cellStyle name="40% - Акцент2 2 3 3" xfId="297" xr:uid="{00000000-0005-0000-0000-000028010000}"/>
    <cellStyle name="40% - Акцент2 2 4" xfId="298" xr:uid="{00000000-0005-0000-0000-000029010000}"/>
    <cellStyle name="40% - Акцент2 2 5" xfId="299" xr:uid="{00000000-0005-0000-0000-00002A010000}"/>
    <cellStyle name="40% - Акцент2 2 6" xfId="300" xr:uid="{00000000-0005-0000-0000-00002B010000}"/>
    <cellStyle name="40% - Акцент2 2 7" xfId="301" xr:uid="{00000000-0005-0000-0000-00002C010000}"/>
    <cellStyle name="40% - Акцент2 2 8" xfId="302" xr:uid="{00000000-0005-0000-0000-00002D010000}"/>
    <cellStyle name="40% - Акцент2 3" xfId="303" xr:uid="{00000000-0005-0000-0000-00002E010000}"/>
    <cellStyle name="40% - Акцент2 3 2" xfId="304" xr:uid="{00000000-0005-0000-0000-00002F010000}"/>
    <cellStyle name="40% - Акцент2 3 3" xfId="305" xr:uid="{00000000-0005-0000-0000-000030010000}"/>
    <cellStyle name="40% - Акцент2 3 4" xfId="306" xr:uid="{00000000-0005-0000-0000-000031010000}"/>
    <cellStyle name="40% - Акцент2 4" xfId="307" xr:uid="{00000000-0005-0000-0000-000032010000}"/>
    <cellStyle name="40% - Акцент2 4 2" xfId="308" xr:uid="{00000000-0005-0000-0000-000033010000}"/>
    <cellStyle name="40% - Акцент2 4 3" xfId="309" xr:uid="{00000000-0005-0000-0000-000034010000}"/>
    <cellStyle name="40% - Акцент2 5" xfId="310" xr:uid="{00000000-0005-0000-0000-000035010000}"/>
    <cellStyle name="40% - Акцент2 5 2" xfId="311" xr:uid="{00000000-0005-0000-0000-000036010000}"/>
    <cellStyle name="40% - Акцент2 5 3" xfId="312" xr:uid="{00000000-0005-0000-0000-000037010000}"/>
    <cellStyle name="40% - Акцент2 6" xfId="313" xr:uid="{00000000-0005-0000-0000-000038010000}"/>
    <cellStyle name="40% - Акцент2 7" xfId="314" xr:uid="{00000000-0005-0000-0000-000039010000}"/>
    <cellStyle name="40% - Акцент2 8" xfId="315" xr:uid="{00000000-0005-0000-0000-00003A010000}"/>
    <cellStyle name="40% - Акцент2 9" xfId="316" xr:uid="{00000000-0005-0000-0000-00003B010000}"/>
    <cellStyle name="40% - Акцент3 10" xfId="317" xr:uid="{00000000-0005-0000-0000-00003C010000}"/>
    <cellStyle name="40% - Акцент3 2" xfId="318" xr:uid="{00000000-0005-0000-0000-00003D010000}"/>
    <cellStyle name="40% - Акцент3 2 2" xfId="319" xr:uid="{00000000-0005-0000-0000-00003E010000}"/>
    <cellStyle name="40% - Акцент3 2 2 2" xfId="320" xr:uid="{00000000-0005-0000-0000-00003F010000}"/>
    <cellStyle name="40% - Акцент3 2 2 3" xfId="321" xr:uid="{00000000-0005-0000-0000-000040010000}"/>
    <cellStyle name="40% - Акцент3 2 3" xfId="322" xr:uid="{00000000-0005-0000-0000-000041010000}"/>
    <cellStyle name="40% - Акцент3 2 3 2" xfId="323" xr:uid="{00000000-0005-0000-0000-000042010000}"/>
    <cellStyle name="40% - Акцент3 2 3 3" xfId="324" xr:uid="{00000000-0005-0000-0000-000043010000}"/>
    <cellStyle name="40% - Акцент3 2 4" xfId="325" xr:uid="{00000000-0005-0000-0000-000044010000}"/>
    <cellStyle name="40% - Акцент3 2 5" xfId="326" xr:uid="{00000000-0005-0000-0000-000045010000}"/>
    <cellStyle name="40% - Акцент3 2 6" xfId="327" xr:uid="{00000000-0005-0000-0000-000046010000}"/>
    <cellStyle name="40% - Акцент3 2 7" xfId="328" xr:uid="{00000000-0005-0000-0000-000047010000}"/>
    <cellStyle name="40% - Акцент3 2 8" xfId="329" xr:uid="{00000000-0005-0000-0000-000048010000}"/>
    <cellStyle name="40% - Акцент3 3" xfId="330" xr:uid="{00000000-0005-0000-0000-000049010000}"/>
    <cellStyle name="40% - Акцент3 3 2" xfId="331" xr:uid="{00000000-0005-0000-0000-00004A010000}"/>
    <cellStyle name="40% - Акцент3 3 3" xfId="332" xr:uid="{00000000-0005-0000-0000-00004B010000}"/>
    <cellStyle name="40% - Акцент3 3 4" xfId="333" xr:uid="{00000000-0005-0000-0000-00004C010000}"/>
    <cellStyle name="40% - Акцент3 4" xfId="334" xr:uid="{00000000-0005-0000-0000-00004D010000}"/>
    <cellStyle name="40% - Акцент3 4 2" xfId="335" xr:uid="{00000000-0005-0000-0000-00004E010000}"/>
    <cellStyle name="40% - Акцент3 4 3" xfId="336" xr:uid="{00000000-0005-0000-0000-00004F010000}"/>
    <cellStyle name="40% - Акцент3 5" xfId="337" xr:uid="{00000000-0005-0000-0000-000050010000}"/>
    <cellStyle name="40% - Акцент3 5 2" xfId="338" xr:uid="{00000000-0005-0000-0000-000051010000}"/>
    <cellStyle name="40% - Акцент3 5 3" xfId="339" xr:uid="{00000000-0005-0000-0000-000052010000}"/>
    <cellStyle name="40% - Акцент3 6" xfId="340" xr:uid="{00000000-0005-0000-0000-000053010000}"/>
    <cellStyle name="40% - Акцент3 7" xfId="341" xr:uid="{00000000-0005-0000-0000-000054010000}"/>
    <cellStyle name="40% - Акцент3 8" xfId="342" xr:uid="{00000000-0005-0000-0000-000055010000}"/>
    <cellStyle name="40% - Акцент3 9" xfId="343" xr:uid="{00000000-0005-0000-0000-000056010000}"/>
    <cellStyle name="40% - Акцент4 10" xfId="344" xr:uid="{00000000-0005-0000-0000-000057010000}"/>
    <cellStyle name="40% - Акцент4 2" xfId="345" xr:uid="{00000000-0005-0000-0000-000058010000}"/>
    <cellStyle name="40% - Акцент4 2 2" xfId="346" xr:uid="{00000000-0005-0000-0000-000059010000}"/>
    <cellStyle name="40% - Акцент4 2 2 2" xfId="347" xr:uid="{00000000-0005-0000-0000-00005A010000}"/>
    <cellStyle name="40% - Акцент4 2 2 3" xfId="348" xr:uid="{00000000-0005-0000-0000-00005B010000}"/>
    <cellStyle name="40% - Акцент4 2 3" xfId="349" xr:uid="{00000000-0005-0000-0000-00005C010000}"/>
    <cellStyle name="40% - Акцент4 2 3 2" xfId="350" xr:uid="{00000000-0005-0000-0000-00005D010000}"/>
    <cellStyle name="40% - Акцент4 2 3 3" xfId="351" xr:uid="{00000000-0005-0000-0000-00005E010000}"/>
    <cellStyle name="40% - Акцент4 2 4" xfId="352" xr:uid="{00000000-0005-0000-0000-00005F010000}"/>
    <cellStyle name="40% - Акцент4 2 5" xfId="353" xr:uid="{00000000-0005-0000-0000-000060010000}"/>
    <cellStyle name="40% - Акцент4 2 6" xfId="354" xr:uid="{00000000-0005-0000-0000-000061010000}"/>
    <cellStyle name="40% - Акцент4 2 7" xfId="355" xr:uid="{00000000-0005-0000-0000-000062010000}"/>
    <cellStyle name="40% - Акцент4 2 8" xfId="356" xr:uid="{00000000-0005-0000-0000-000063010000}"/>
    <cellStyle name="40% - Акцент4 3" xfId="357" xr:uid="{00000000-0005-0000-0000-000064010000}"/>
    <cellStyle name="40% - Акцент4 3 2" xfId="358" xr:uid="{00000000-0005-0000-0000-000065010000}"/>
    <cellStyle name="40% - Акцент4 3 3" xfId="359" xr:uid="{00000000-0005-0000-0000-000066010000}"/>
    <cellStyle name="40% - Акцент4 3 4" xfId="360" xr:uid="{00000000-0005-0000-0000-000067010000}"/>
    <cellStyle name="40% - Акцент4 4" xfId="361" xr:uid="{00000000-0005-0000-0000-000068010000}"/>
    <cellStyle name="40% - Акцент4 4 2" xfId="362" xr:uid="{00000000-0005-0000-0000-000069010000}"/>
    <cellStyle name="40% - Акцент4 4 3" xfId="363" xr:uid="{00000000-0005-0000-0000-00006A010000}"/>
    <cellStyle name="40% - Акцент4 5" xfId="364" xr:uid="{00000000-0005-0000-0000-00006B010000}"/>
    <cellStyle name="40% - Акцент4 5 2" xfId="365" xr:uid="{00000000-0005-0000-0000-00006C010000}"/>
    <cellStyle name="40% - Акцент4 5 3" xfId="366" xr:uid="{00000000-0005-0000-0000-00006D010000}"/>
    <cellStyle name="40% - Акцент4 6" xfId="367" xr:uid="{00000000-0005-0000-0000-00006E010000}"/>
    <cellStyle name="40% - Акцент4 7" xfId="368" xr:uid="{00000000-0005-0000-0000-00006F010000}"/>
    <cellStyle name="40% - Акцент4 8" xfId="369" xr:uid="{00000000-0005-0000-0000-000070010000}"/>
    <cellStyle name="40% - Акцент4 9" xfId="370" xr:uid="{00000000-0005-0000-0000-000071010000}"/>
    <cellStyle name="40% - Акцент5 10" xfId="371" xr:uid="{00000000-0005-0000-0000-000072010000}"/>
    <cellStyle name="40% - Акцент5 2" xfId="372" xr:uid="{00000000-0005-0000-0000-000073010000}"/>
    <cellStyle name="40% - Акцент5 2 2" xfId="373" xr:uid="{00000000-0005-0000-0000-000074010000}"/>
    <cellStyle name="40% - Акцент5 2 2 2" xfId="374" xr:uid="{00000000-0005-0000-0000-000075010000}"/>
    <cellStyle name="40% - Акцент5 2 2 3" xfId="375" xr:uid="{00000000-0005-0000-0000-000076010000}"/>
    <cellStyle name="40% - Акцент5 2 3" xfId="376" xr:uid="{00000000-0005-0000-0000-000077010000}"/>
    <cellStyle name="40% - Акцент5 2 3 2" xfId="377" xr:uid="{00000000-0005-0000-0000-000078010000}"/>
    <cellStyle name="40% - Акцент5 2 3 3" xfId="378" xr:uid="{00000000-0005-0000-0000-000079010000}"/>
    <cellStyle name="40% - Акцент5 2 4" xfId="379" xr:uid="{00000000-0005-0000-0000-00007A010000}"/>
    <cellStyle name="40% - Акцент5 2 5" xfId="380" xr:uid="{00000000-0005-0000-0000-00007B010000}"/>
    <cellStyle name="40% - Акцент5 2 6" xfId="381" xr:uid="{00000000-0005-0000-0000-00007C010000}"/>
    <cellStyle name="40% - Акцент5 2 7" xfId="382" xr:uid="{00000000-0005-0000-0000-00007D010000}"/>
    <cellStyle name="40% - Акцент5 2 8" xfId="383" xr:uid="{00000000-0005-0000-0000-00007E010000}"/>
    <cellStyle name="40% - Акцент5 3" xfId="384" xr:uid="{00000000-0005-0000-0000-00007F010000}"/>
    <cellStyle name="40% - Акцент5 3 2" xfId="385" xr:uid="{00000000-0005-0000-0000-000080010000}"/>
    <cellStyle name="40% - Акцент5 3 3" xfId="386" xr:uid="{00000000-0005-0000-0000-000081010000}"/>
    <cellStyle name="40% - Акцент5 3 4" xfId="387" xr:uid="{00000000-0005-0000-0000-000082010000}"/>
    <cellStyle name="40% - Акцент5 4" xfId="388" xr:uid="{00000000-0005-0000-0000-000083010000}"/>
    <cellStyle name="40% - Акцент5 4 2" xfId="389" xr:uid="{00000000-0005-0000-0000-000084010000}"/>
    <cellStyle name="40% - Акцент5 4 3" xfId="390" xr:uid="{00000000-0005-0000-0000-000085010000}"/>
    <cellStyle name="40% - Акцент5 5" xfId="391" xr:uid="{00000000-0005-0000-0000-000086010000}"/>
    <cellStyle name="40% - Акцент5 5 2" xfId="392" xr:uid="{00000000-0005-0000-0000-000087010000}"/>
    <cellStyle name="40% - Акцент5 5 3" xfId="393" xr:uid="{00000000-0005-0000-0000-000088010000}"/>
    <cellStyle name="40% - Акцент5 6" xfId="394" xr:uid="{00000000-0005-0000-0000-000089010000}"/>
    <cellStyle name="40% - Акцент5 7" xfId="395" xr:uid="{00000000-0005-0000-0000-00008A010000}"/>
    <cellStyle name="40% - Акцент5 8" xfId="396" xr:uid="{00000000-0005-0000-0000-00008B010000}"/>
    <cellStyle name="40% - Акцент5 9" xfId="397" xr:uid="{00000000-0005-0000-0000-00008C010000}"/>
    <cellStyle name="40% - Акцент6 10" xfId="398" xr:uid="{00000000-0005-0000-0000-00008D010000}"/>
    <cellStyle name="40% - Акцент6 2" xfId="399" xr:uid="{00000000-0005-0000-0000-00008E010000}"/>
    <cellStyle name="40% - Акцент6 2 2" xfId="400" xr:uid="{00000000-0005-0000-0000-00008F010000}"/>
    <cellStyle name="40% - Акцент6 2 2 2" xfId="401" xr:uid="{00000000-0005-0000-0000-000090010000}"/>
    <cellStyle name="40% - Акцент6 2 2 3" xfId="402" xr:uid="{00000000-0005-0000-0000-000091010000}"/>
    <cellStyle name="40% - Акцент6 2 3" xfId="403" xr:uid="{00000000-0005-0000-0000-000092010000}"/>
    <cellStyle name="40% - Акцент6 2 3 2" xfId="404" xr:uid="{00000000-0005-0000-0000-000093010000}"/>
    <cellStyle name="40% - Акцент6 2 3 3" xfId="405" xr:uid="{00000000-0005-0000-0000-000094010000}"/>
    <cellStyle name="40% - Акцент6 2 4" xfId="406" xr:uid="{00000000-0005-0000-0000-000095010000}"/>
    <cellStyle name="40% - Акцент6 2 5" xfId="407" xr:uid="{00000000-0005-0000-0000-000096010000}"/>
    <cellStyle name="40% - Акцент6 2 6" xfId="408" xr:uid="{00000000-0005-0000-0000-000097010000}"/>
    <cellStyle name="40% - Акцент6 2 7" xfId="409" xr:uid="{00000000-0005-0000-0000-000098010000}"/>
    <cellStyle name="40% - Акцент6 2 8" xfId="410" xr:uid="{00000000-0005-0000-0000-000099010000}"/>
    <cellStyle name="40% - Акцент6 3" xfId="411" xr:uid="{00000000-0005-0000-0000-00009A010000}"/>
    <cellStyle name="40% - Акцент6 3 2" xfId="412" xr:uid="{00000000-0005-0000-0000-00009B010000}"/>
    <cellStyle name="40% - Акцент6 3 3" xfId="413" xr:uid="{00000000-0005-0000-0000-00009C010000}"/>
    <cellStyle name="40% - Акцент6 3 4" xfId="414" xr:uid="{00000000-0005-0000-0000-00009D010000}"/>
    <cellStyle name="40% - Акцент6 4" xfId="415" xr:uid="{00000000-0005-0000-0000-00009E010000}"/>
    <cellStyle name="40% - Акцент6 4 2" xfId="416" xr:uid="{00000000-0005-0000-0000-00009F010000}"/>
    <cellStyle name="40% - Акцент6 4 3" xfId="417" xr:uid="{00000000-0005-0000-0000-0000A0010000}"/>
    <cellStyle name="40% - Акцент6 5" xfId="418" xr:uid="{00000000-0005-0000-0000-0000A1010000}"/>
    <cellStyle name="40% - Акцент6 5 2" xfId="419" xr:uid="{00000000-0005-0000-0000-0000A2010000}"/>
    <cellStyle name="40% - Акцент6 5 3" xfId="420" xr:uid="{00000000-0005-0000-0000-0000A3010000}"/>
    <cellStyle name="40% - Акцент6 6" xfId="421" xr:uid="{00000000-0005-0000-0000-0000A4010000}"/>
    <cellStyle name="40% - Акцент6 7" xfId="422" xr:uid="{00000000-0005-0000-0000-0000A5010000}"/>
    <cellStyle name="40% - Акцент6 8" xfId="423" xr:uid="{00000000-0005-0000-0000-0000A6010000}"/>
    <cellStyle name="40% - Акцент6 9" xfId="424" xr:uid="{00000000-0005-0000-0000-0000A7010000}"/>
    <cellStyle name="60% - Accent1" xfId="425" xr:uid="{00000000-0005-0000-0000-0000A8010000}"/>
    <cellStyle name="60% - Accent1 2" xfId="426" xr:uid="{00000000-0005-0000-0000-0000A9010000}"/>
    <cellStyle name="60% - Accent1 3" xfId="427" xr:uid="{00000000-0005-0000-0000-0000AA010000}"/>
    <cellStyle name="60% - Accent1 4" xfId="428" xr:uid="{00000000-0005-0000-0000-0000AB010000}"/>
    <cellStyle name="60% - Accent1 5" xfId="429" xr:uid="{00000000-0005-0000-0000-0000AC010000}"/>
    <cellStyle name="60% - Accent1 6" xfId="430" xr:uid="{00000000-0005-0000-0000-0000AD010000}"/>
    <cellStyle name="60% - Accent2" xfId="431" xr:uid="{00000000-0005-0000-0000-0000AE010000}"/>
    <cellStyle name="60% - Accent2 2" xfId="432" xr:uid="{00000000-0005-0000-0000-0000AF010000}"/>
    <cellStyle name="60% - Accent2 3" xfId="433" xr:uid="{00000000-0005-0000-0000-0000B0010000}"/>
    <cellStyle name="60% - Accent2 4" xfId="434" xr:uid="{00000000-0005-0000-0000-0000B1010000}"/>
    <cellStyle name="60% - Accent2 5" xfId="435" xr:uid="{00000000-0005-0000-0000-0000B2010000}"/>
    <cellStyle name="60% - Accent2 6" xfId="436" xr:uid="{00000000-0005-0000-0000-0000B3010000}"/>
    <cellStyle name="60% - Accent3" xfId="437" xr:uid="{00000000-0005-0000-0000-0000B4010000}"/>
    <cellStyle name="60% - Accent3 2" xfId="438" xr:uid="{00000000-0005-0000-0000-0000B5010000}"/>
    <cellStyle name="60% - Accent3 3" xfId="439" xr:uid="{00000000-0005-0000-0000-0000B6010000}"/>
    <cellStyle name="60% - Accent3 4" xfId="440" xr:uid="{00000000-0005-0000-0000-0000B7010000}"/>
    <cellStyle name="60% - Accent3 5" xfId="441" xr:uid="{00000000-0005-0000-0000-0000B8010000}"/>
    <cellStyle name="60% - Accent3 6" xfId="442" xr:uid="{00000000-0005-0000-0000-0000B9010000}"/>
    <cellStyle name="60% - Accent4" xfId="443" xr:uid="{00000000-0005-0000-0000-0000BA010000}"/>
    <cellStyle name="60% - Accent4 2" xfId="444" xr:uid="{00000000-0005-0000-0000-0000BB010000}"/>
    <cellStyle name="60% - Accent4 3" xfId="445" xr:uid="{00000000-0005-0000-0000-0000BC010000}"/>
    <cellStyle name="60% - Accent4 4" xfId="446" xr:uid="{00000000-0005-0000-0000-0000BD010000}"/>
    <cellStyle name="60% - Accent4 5" xfId="447" xr:uid="{00000000-0005-0000-0000-0000BE010000}"/>
    <cellStyle name="60% - Accent4 6" xfId="448" xr:uid="{00000000-0005-0000-0000-0000BF010000}"/>
    <cellStyle name="60% - Accent5" xfId="449" xr:uid="{00000000-0005-0000-0000-0000C0010000}"/>
    <cellStyle name="60% - Accent5 2" xfId="450" xr:uid="{00000000-0005-0000-0000-0000C1010000}"/>
    <cellStyle name="60% - Accent5 3" xfId="451" xr:uid="{00000000-0005-0000-0000-0000C2010000}"/>
    <cellStyle name="60% - Accent5 4" xfId="452" xr:uid="{00000000-0005-0000-0000-0000C3010000}"/>
    <cellStyle name="60% - Accent5 5" xfId="453" xr:uid="{00000000-0005-0000-0000-0000C4010000}"/>
    <cellStyle name="60% - Accent5 6" xfId="454" xr:uid="{00000000-0005-0000-0000-0000C5010000}"/>
    <cellStyle name="60% - Accent6" xfId="455" xr:uid="{00000000-0005-0000-0000-0000C6010000}"/>
    <cellStyle name="60% - Accent6 2" xfId="456" xr:uid="{00000000-0005-0000-0000-0000C7010000}"/>
    <cellStyle name="60% - Accent6 3" xfId="457" xr:uid="{00000000-0005-0000-0000-0000C8010000}"/>
    <cellStyle name="60% - Accent6 4" xfId="458" xr:uid="{00000000-0005-0000-0000-0000C9010000}"/>
    <cellStyle name="60% - Accent6 5" xfId="459" xr:uid="{00000000-0005-0000-0000-0000CA010000}"/>
    <cellStyle name="60% - Accent6 6" xfId="460" xr:uid="{00000000-0005-0000-0000-0000CB010000}"/>
    <cellStyle name="60% - Акцент1 10" xfId="461" xr:uid="{00000000-0005-0000-0000-0000CC010000}"/>
    <cellStyle name="60% - Акцент1 2" xfId="462" xr:uid="{00000000-0005-0000-0000-0000CD010000}"/>
    <cellStyle name="60% - Акцент1 2 2" xfId="463" xr:uid="{00000000-0005-0000-0000-0000CE010000}"/>
    <cellStyle name="60% - Акцент1 2 2 2" xfId="464" xr:uid="{00000000-0005-0000-0000-0000CF010000}"/>
    <cellStyle name="60% - Акцент1 2 2 3" xfId="465" xr:uid="{00000000-0005-0000-0000-0000D0010000}"/>
    <cellStyle name="60% - Акцент1 2 3" xfId="466" xr:uid="{00000000-0005-0000-0000-0000D1010000}"/>
    <cellStyle name="60% - Акцент1 2 3 2" xfId="467" xr:uid="{00000000-0005-0000-0000-0000D2010000}"/>
    <cellStyle name="60% - Акцент1 2 3 3" xfId="468" xr:uid="{00000000-0005-0000-0000-0000D3010000}"/>
    <cellStyle name="60% - Акцент1 2 4" xfId="469" xr:uid="{00000000-0005-0000-0000-0000D4010000}"/>
    <cellStyle name="60% - Акцент1 2 5" xfId="470" xr:uid="{00000000-0005-0000-0000-0000D5010000}"/>
    <cellStyle name="60% - Акцент1 2 6" xfId="471" xr:uid="{00000000-0005-0000-0000-0000D6010000}"/>
    <cellStyle name="60% - Акцент1 2 7" xfId="472" xr:uid="{00000000-0005-0000-0000-0000D7010000}"/>
    <cellStyle name="60% - Акцент1 2 8" xfId="473" xr:uid="{00000000-0005-0000-0000-0000D8010000}"/>
    <cellStyle name="60% - Акцент1 3" xfId="474" xr:uid="{00000000-0005-0000-0000-0000D9010000}"/>
    <cellStyle name="60% - Акцент1 3 2" xfId="475" xr:uid="{00000000-0005-0000-0000-0000DA010000}"/>
    <cellStyle name="60% - Акцент1 3 3" xfId="476" xr:uid="{00000000-0005-0000-0000-0000DB010000}"/>
    <cellStyle name="60% - Акцент1 3 4" xfId="477" xr:uid="{00000000-0005-0000-0000-0000DC010000}"/>
    <cellStyle name="60% - Акцент1 4" xfId="478" xr:uid="{00000000-0005-0000-0000-0000DD010000}"/>
    <cellStyle name="60% - Акцент1 4 2" xfId="479" xr:uid="{00000000-0005-0000-0000-0000DE010000}"/>
    <cellStyle name="60% - Акцент1 4 3" xfId="480" xr:uid="{00000000-0005-0000-0000-0000DF010000}"/>
    <cellStyle name="60% - Акцент1 5" xfId="481" xr:uid="{00000000-0005-0000-0000-0000E0010000}"/>
    <cellStyle name="60% - Акцент1 5 2" xfId="482" xr:uid="{00000000-0005-0000-0000-0000E1010000}"/>
    <cellStyle name="60% - Акцент1 5 3" xfId="483" xr:uid="{00000000-0005-0000-0000-0000E2010000}"/>
    <cellStyle name="60% - Акцент1 6" xfId="484" xr:uid="{00000000-0005-0000-0000-0000E3010000}"/>
    <cellStyle name="60% - Акцент1 7" xfId="485" xr:uid="{00000000-0005-0000-0000-0000E4010000}"/>
    <cellStyle name="60% - Акцент1 8" xfId="486" xr:uid="{00000000-0005-0000-0000-0000E5010000}"/>
    <cellStyle name="60% - Акцент1 9" xfId="487" xr:uid="{00000000-0005-0000-0000-0000E6010000}"/>
    <cellStyle name="60% - Акцент2 10" xfId="488" xr:uid="{00000000-0005-0000-0000-0000E7010000}"/>
    <cellStyle name="60% - Акцент2 2" xfId="489" xr:uid="{00000000-0005-0000-0000-0000E8010000}"/>
    <cellStyle name="60% - Акцент2 2 2" xfId="490" xr:uid="{00000000-0005-0000-0000-0000E9010000}"/>
    <cellStyle name="60% - Акцент2 2 2 2" xfId="491" xr:uid="{00000000-0005-0000-0000-0000EA010000}"/>
    <cellStyle name="60% - Акцент2 2 2 3" xfId="492" xr:uid="{00000000-0005-0000-0000-0000EB010000}"/>
    <cellStyle name="60% - Акцент2 2 3" xfId="493" xr:uid="{00000000-0005-0000-0000-0000EC010000}"/>
    <cellStyle name="60% - Акцент2 2 3 2" xfId="494" xr:uid="{00000000-0005-0000-0000-0000ED010000}"/>
    <cellStyle name="60% - Акцент2 2 3 3" xfId="495" xr:uid="{00000000-0005-0000-0000-0000EE010000}"/>
    <cellStyle name="60% - Акцент2 2 4" xfId="496" xr:uid="{00000000-0005-0000-0000-0000EF010000}"/>
    <cellStyle name="60% - Акцент2 2 5" xfId="497" xr:uid="{00000000-0005-0000-0000-0000F0010000}"/>
    <cellStyle name="60% - Акцент2 2 6" xfId="498" xr:uid="{00000000-0005-0000-0000-0000F1010000}"/>
    <cellStyle name="60% - Акцент2 2 7" xfId="499" xr:uid="{00000000-0005-0000-0000-0000F2010000}"/>
    <cellStyle name="60% - Акцент2 2 8" xfId="500" xr:uid="{00000000-0005-0000-0000-0000F3010000}"/>
    <cellStyle name="60% - Акцент2 3" xfId="501" xr:uid="{00000000-0005-0000-0000-0000F4010000}"/>
    <cellStyle name="60% - Акцент2 3 2" xfId="502" xr:uid="{00000000-0005-0000-0000-0000F5010000}"/>
    <cellStyle name="60% - Акцент2 3 3" xfId="503" xr:uid="{00000000-0005-0000-0000-0000F6010000}"/>
    <cellStyle name="60% - Акцент2 3 4" xfId="504" xr:uid="{00000000-0005-0000-0000-0000F7010000}"/>
    <cellStyle name="60% - Акцент2 4" xfId="505" xr:uid="{00000000-0005-0000-0000-0000F8010000}"/>
    <cellStyle name="60% - Акцент2 4 2" xfId="506" xr:uid="{00000000-0005-0000-0000-0000F9010000}"/>
    <cellStyle name="60% - Акцент2 4 3" xfId="507" xr:uid="{00000000-0005-0000-0000-0000FA010000}"/>
    <cellStyle name="60% - Акцент2 5" xfId="508" xr:uid="{00000000-0005-0000-0000-0000FB010000}"/>
    <cellStyle name="60% - Акцент2 5 2" xfId="509" xr:uid="{00000000-0005-0000-0000-0000FC010000}"/>
    <cellStyle name="60% - Акцент2 5 3" xfId="510" xr:uid="{00000000-0005-0000-0000-0000FD010000}"/>
    <cellStyle name="60% - Акцент2 6" xfId="511" xr:uid="{00000000-0005-0000-0000-0000FE010000}"/>
    <cellStyle name="60% - Акцент2 7" xfId="512" xr:uid="{00000000-0005-0000-0000-0000FF010000}"/>
    <cellStyle name="60% - Акцент2 8" xfId="513" xr:uid="{00000000-0005-0000-0000-000000020000}"/>
    <cellStyle name="60% - Акцент2 9" xfId="514" xr:uid="{00000000-0005-0000-0000-000001020000}"/>
    <cellStyle name="60% - Акцент3 10" xfId="515" xr:uid="{00000000-0005-0000-0000-000002020000}"/>
    <cellStyle name="60% - Акцент3 2" xfId="516" xr:uid="{00000000-0005-0000-0000-000003020000}"/>
    <cellStyle name="60% - Акцент3 2 2" xfId="517" xr:uid="{00000000-0005-0000-0000-000004020000}"/>
    <cellStyle name="60% - Акцент3 2 2 2" xfId="518" xr:uid="{00000000-0005-0000-0000-000005020000}"/>
    <cellStyle name="60% - Акцент3 2 2 3" xfId="519" xr:uid="{00000000-0005-0000-0000-000006020000}"/>
    <cellStyle name="60% - Акцент3 2 3" xfId="520" xr:uid="{00000000-0005-0000-0000-000007020000}"/>
    <cellStyle name="60% - Акцент3 2 3 2" xfId="521" xr:uid="{00000000-0005-0000-0000-000008020000}"/>
    <cellStyle name="60% - Акцент3 2 3 3" xfId="522" xr:uid="{00000000-0005-0000-0000-000009020000}"/>
    <cellStyle name="60% - Акцент3 2 4" xfId="523" xr:uid="{00000000-0005-0000-0000-00000A020000}"/>
    <cellStyle name="60% - Акцент3 2 5" xfId="524" xr:uid="{00000000-0005-0000-0000-00000B020000}"/>
    <cellStyle name="60% - Акцент3 2 6" xfId="525" xr:uid="{00000000-0005-0000-0000-00000C020000}"/>
    <cellStyle name="60% - Акцент3 2 7" xfId="526" xr:uid="{00000000-0005-0000-0000-00000D020000}"/>
    <cellStyle name="60% - Акцент3 2 8" xfId="527" xr:uid="{00000000-0005-0000-0000-00000E020000}"/>
    <cellStyle name="60% - Акцент3 3" xfId="528" xr:uid="{00000000-0005-0000-0000-00000F020000}"/>
    <cellStyle name="60% - Акцент3 3 2" xfId="529" xr:uid="{00000000-0005-0000-0000-000010020000}"/>
    <cellStyle name="60% - Акцент3 3 3" xfId="530" xr:uid="{00000000-0005-0000-0000-000011020000}"/>
    <cellStyle name="60% - Акцент3 3 4" xfId="531" xr:uid="{00000000-0005-0000-0000-000012020000}"/>
    <cellStyle name="60% - Акцент3 4" xfId="532" xr:uid="{00000000-0005-0000-0000-000013020000}"/>
    <cellStyle name="60% - Акцент3 4 2" xfId="533" xr:uid="{00000000-0005-0000-0000-000014020000}"/>
    <cellStyle name="60% - Акцент3 4 3" xfId="534" xr:uid="{00000000-0005-0000-0000-000015020000}"/>
    <cellStyle name="60% - Акцент3 5" xfId="535" xr:uid="{00000000-0005-0000-0000-000016020000}"/>
    <cellStyle name="60% - Акцент3 5 2" xfId="536" xr:uid="{00000000-0005-0000-0000-000017020000}"/>
    <cellStyle name="60% - Акцент3 5 3" xfId="537" xr:uid="{00000000-0005-0000-0000-000018020000}"/>
    <cellStyle name="60% - Акцент3 6" xfId="538" xr:uid="{00000000-0005-0000-0000-000019020000}"/>
    <cellStyle name="60% - Акцент3 7" xfId="539" xr:uid="{00000000-0005-0000-0000-00001A020000}"/>
    <cellStyle name="60% - Акцент3 8" xfId="540" xr:uid="{00000000-0005-0000-0000-00001B020000}"/>
    <cellStyle name="60% - Акцент3 9" xfId="541" xr:uid="{00000000-0005-0000-0000-00001C020000}"/>
    <cellStyle name="60% - Акцент4 10" xfId="542" xr:uid="{00000000-0005-0000-0000-00001D020000}"/>
    <cellStyle name="60% - Акцент4 2" xfId="543" xr:uid="{00000000-0005-0000-0000-00001E020000}"/>
    <cellStyle name="60% - Акцент4 2 2" xfId="544" xr:uid="{00000000-0005-0000-0000-00001F020000}"/>
    <cellStyle name="60% - Акцент4 2 2 2" xfId="545" xr:uid="{00000000-0005-0000-0000-000020020000}"/>
    <cellStyle name="60% - Акцент4 2 2 3" xfId="546" xr:uid="{00000000-0005-0000-0000-000021020000}"/>
    <cellStyle name="60% - Акцент4 2 3" xfId="547" xr:uid="{00000000-0005-0000-0000-000022020000}"/>
    <cellStyle name="60% - Акцент4 2 3 2" xfId="548" xr:uid="{00000000-0005-0000-0000-000023020000}"/>
    <cellStyle name="60% - Акцент4 2 3 3" xfId="549" xr:uid="{00000000-0005-0000-0000-000024020000}"/>
    <cellStyle name="60% - Акцент4 2 4" xfId="550" xr:uid="{00000000-0005-0000-0000-000025020000}"/>
    <cellStyle name="60% - Акцент4 2 5" xfId="551" xr:uid="{00000000-0005-0000-0000-000026020000}"/>
    <cellStyle name="60% - Акцент4 2 6" xfId="552" xr:uid="{00000000-0005-0000-0000-000027020000}"/>
    <cellStyle name="60% - Акцент4 2 7" xfId="553" xr:uid="{00000000-0005-0000-0000-000028020000}"/>
    <cellStyle name="60% - Акцент4 2 8" xfId="554" xr:uid="{00000000-0005-0000-0000-000029020000}"/>
    <cellStyle name="60% - Акцент4 3" xfId="555" xr:uid="{00000000-0005-0000-0000-00002A020000}"/>
    <cellStyle name="60% - Акцент4 3 2" xfId="556" xr:uid="{00000000-0005-0000-0000-00002B020000}"/>
    <cellStyle name="60% - Акцент4 3 3" xfId="557" xr:uid="{00000000-0005-0000-0000-00002C020000}"/>
    <cellStyle name="60% - Акцент4 3 4" xfId="558" xr:uid="{00000000-0005-0000-0000-00002D020000}"/>
    <cellStyle name="60% - Акцент4 4" xfId="559" xr:uid="{00000000-0005-0000-0000-00002E020000}"/>
    <cellStyle name="60% - Акцент4 4 2" xfId="560" xr:uid="{00000000-0005-0000-0000-00002F020000}"/>
    <cellStyle name="60% - Акцент4 4 3" xfId="561" xr:uid="{00000000-0005-0000-0000-000030020000}"/>
    <cellStyle name="60% - Акцент4 5" xfId="562" xr:uid="{00000000-0005-0000-0000-000031020000}"/>
    <cellStyle name="60% - Акцент4 5 2" xfId="563" xr:uid="{00000000-0005-0000-0000-000032020000}"/>
    <cellStyle name="60% - Акцент4 5 3" xfId="564" xr:uid="{00000000-0005-0000-0000-000033020000}"/>
    <cellStyle name="60% - Акцент4 6" xfId="565" xr:uid="{00000000-0005-0000-0000-000034020000}"/>
    <cellStyle name="60% - Акцент4 7" xfId="566" xr:uid="{00000000-0005-0000-0000-000035020000}"/>
    <cellStyle name="60% - Акцент4 8" xfId="567" xr:uid="{00000000-0005-0000-0000-000036020000}"/>
    <cellStyle name="60% - Акцент4 9" xfId="568" xr:uid="{00000000-0005-0000-0000-000037020000}"/>
    <cellStyle name="60% - Акцент5 10" xfId="569" xr:uid="{00000000-0005-0000-0000-000038020000}"/>
    <cellStyle name="60% - Акцент5 2" xfId="570" xr:uid="{00000000-0005-0000-0000-000039020000}"/>
    <cellStyle name="60% - Акцент5 2 2" xfId="571" xr:uid="{00000000-0005-0000-0000-00003A020000}"/>
    <cellStyle name="60% - Акцент5 2 2 2" xfId="572" xr:uid="{00000000-0005-0000-0000-00003B020000}"/>
    <cellStyle name="60% - Акцент5 2 2 3" xfId="573" xr:uid="{00000000-0005-0000-0000-00003C020000}"/>
    <cellStyle name="60% - Акцент5 2 3" xfId="574" xr:uid="{00000000-0005-0000-0000-00003D020000}"/>
    <cellStyle name="60% - Акцент5 2 3 2" xfId="575" xr:uid="{00000000-0005-0000-0000-00003E020000}"/>
    <cellStyle name="60% - Акцент5 2 3 3" xfId="576" xr:uid="{00000000-0005-0000-0000-00003F020000}"/>
    <cellStyle name="60% - Акцент5 2 4" xfId="577" xr:uid="{00000000-0005-0000-0000-000040020000}"/>
    <cellStyle name="60% - Акцент5 2 5" xfId="578" xr:uid="{00000000-0005-0000-0000-000041020000}"/>
    <cellStyle name="60% - Акцент5 2 6" xfId="579" xr:uid="{00000000-0005-0000-0000-000042020000}"/>
    <cellStyle name="60% - Акцент5 2 7" xfId="580" xr:uid="{00000000-0005-0000-0000-000043020000}"/>
    <cellStyle name="60% - Акцент5 2 8" xfId="581" xr:uid="{00000000-0005-0000-0000-000044020000}"/>
    <cellStyle name="60% - Акцент5 3" xfId="582" xr:uid="{00000000-0005-0000-0000-000045020000}"/>
    <cellStyle name="60% - Акцент5 3 2" xfId="583" xr:uid="{00000000-0005-0000-0000-000046020000}"/>
    <cellStyle name="60% - Акцент5 3 3" xfId="584" xr:uid="{00000000-0005-0000-0000-000047020000}"/>
    <cellStyle name="60% - Акцент5 3 4" xfId="585" xr:uid="{00000000-0005-0000-0000-000048020000}"/>
    <cellStyle name="60% - Акцент5 4" xfId="586" xr:uid="{00000000-0005-0000-0000-000049020000}"/>
    <cellStyle name="60% - Акцент5 4 2" xfId="587" xr:uid="{00000000-0005-0000-0000-00004A020000}"/>
    <cellStyle name="60% - Акцент5 4 3" xfId="588" xr:uid="{00000000-0005-0000-0000-00004B020000}"/>
    <cellStyle name="60% - Акцент5 5" xfId="589" xr:uid="{00000000-0005-0000-0000-00004C020000}"/>
    <cellStyle name="60% - Акцент5 5 2" xfId="590" xr:uid="{00000000-0005-0000-0000-00004D020000}"/>
    <cellStyle name="60% - Акцент5 5 3" xfId="591" xr:uid="{00000000-0005-0000-0000-00004E020000}"/>
    <cellStyle name="60% - Акцент5 6" xfId="592" xr:uid="{00000000-0005-0000-0000-00004F020000}"/>
    <cellStyle name="60% - Акцент5 7" xfId="593" xr:uid="{00000000-0005-0000-0000-000050020000}"/>
    <cellStyle name="60% - Акцент5 8" xfId="594" xr:uid="{00000000-0005-0000-0000-000051020000}"/>
    <cellStyle name="60% - Акцент5 9" xfId="595" xr:uid="{00000000-0005-0000-0000-000052020000}"/>
    <cellStyle name="60% - Акцент6 10" xfId="596" xr:uid="{00000000-0005-0000-0000-000053020000}"/>
    <cellStyle name="60% - Акцент6 2" xfId="597" xr:uid="{00000000-0005-0000-0000-000054020000}"/>
    <cellStyle name="60% - Акцент6 2 2" xfId="598" xr:uid="{00000000-0005-0000-0000-000055020000}"/>
    <cellStyle name="60% - Акцент6 2 2 2" xfId="599" xr:uid="{00000000-0005-0000-0000-000056020000}"/>
    <cellStyle name="60% - Акцент6 2 2 3" xfId="600" xr:uid="{00000000-0005-0000-0000-000057020000}"/>
    <cellStyle name="60% - Акцент6 2 3" xfId="601" xr:uid="{00000000-0005-0000-0000-000058020000}"/>
    <cellStyle name="60% - Акцент6 2 3 2" xfId="602" xr:uid="{00000000-0005-0000-0000-000059020000}"/>
    <cellStyle name="60% - Акцент6 2 3 3" xfId="603" xr:uid="{00000000-0005-0000-0000-00005A020000}"/>
    <cellStyle name="60% - Акцент6 2 4" xfId="604" xr:uid="{00000000-0005-0000-0000-00005B020000}"/>
    <cellStyle name="60% - Акцент6 2 5" xfId="605" xr:uid="{00000000-0005-0000-0000-00005C020000}"/>
    <cellStyle name="60% - Акцент6 2 6" xfId="606" xr:uid="{00000000-0005-0000-0000-00005D020000}"/>
    <cellStyle name="60% - Акцент6 2 7" xfId="607" xr:uid="{00000000-0005-0000-0000-00005E020000}"/>
    <cellStyle name="60% - Акцент6 2 8" xfId="608" xr:uid="{00000000-0005-0000-0000-00005F020000}"/>
    <cellStyle name="60% - Акцент6 3" xfId="609" xr:uid="{00000000-0005-0000-0000-000060020000}"/>
    <cellStyle name="60% - Акцент6 3 2" xfId="610" xr:uid="{00000000-0005-0000-0000-000061020000}"/>
    <cellStyle name="60% - Акцент6 3 3" xfId="611" xr:uid="{00000000-0005-0000-0000-000062020000}"/>
    <cellStyle name="60% - Акцент6 3 4" xfId="612" xr:uid="{00000000-0005-0000-0000-000063020000}"/>
    <cellStyle name="60% - Акцент6 4" xfId="613" xr:uid="{00000000-0005-0000-0000-000064020000}"/>
    <cellStyle name="60% - Акцент6 4 2" xfId="614" xr:uid="{00000000-0005-0000-0000-000065020000}"/>
    <cellStyle name="60% - Акцент6 4 3" xfId="615" xr:uid="{00000000-0005-0000-0000-000066020000}"/>
    <cellStyle name="60% - Акцент6 5" xfId="616" xr:uid="{00000000-0005-0000-0000-000067020000}"/>
    <cellStyle name="60% - Акцент6 5 2" xfId="617" xr:uid="{00000000-0005-0000-0000-000068020000}"/>
    <cellStyle name="60% - Акцент6 5 3" xfId="618" xr:uid="{00000000-0005-0000-0000-000069020000}"/>
    <cellStyle name="60% - Акцент6 6" xfId="619" xr:uid="{00000000-0005-0000-0000-00006A020000}"/>
    <cellStyle name="60% - Акцент6 7" xfId="620" xr:uid="{00000000-0005-0000-0000-00006B020000}"/>
    <cellStyle name="60% - Акцент6 8" xfId="621" xr:uid="{00000000-0005-0000-0000-00006C020000}"/>
    <cellStyle name="60% - Акцент6 9" xfId="622" xr:uid="{00000000-0005-0000-0000-00006D020000}"/>
    <cellStyle name="Äåíåæíûé [0]_PERSONAL" xfId="623" xr:uid="{00000000-0005-0000-0000-00006E020000}"/>
    <cellStyle name="Äåíåæíûé_PERSONAL" xfId="624" xr:uid="{00000000-0005-0000-0000-00006F020000}"/>
    <cellStyle name="Accent1" xfId="625" xr:uid="{00000000-0005-0000-0000-000070020000}"/>
    <cellStyle name="Accent1 2" xfId="626" xr:uid="{00000000-0005-0000-0000-000071020000}"/>
    <cellStyle name="Accent1 3" xfId="627" xr:uid="{00000000-0005-0000-0000-000072020000}"/>
    <cellStyle name="Accent1 4" xfId="628" xr:uid="{00000000-0005-0000-0000-000073020000}"/>
    <cellStyle name="Accent1 5" xfId="629" xr:uid="{00000000-0005-0000-0000-000074020000}"/>
    <cellStyle name="Accent1 6" xfId="630" xr:uid="{00000000-0005-0000-0000-000075020000}"/>
    <cellStyle name="Accent2" xfId="631" xr:uid="{00000000-0005-0000-0000-000076020000}"/>
    <cellStyle name="Accent2 2" xfId="632" xr:uid="{00000000-0005-0000-0000-000077020000}"/>
    <cellStyle name="Accent2 3" xfId="633" xr:uid="{00000000-0005-0000-0000-000078020000}"/>
    <cellStyle name="Accent2 4" xfId="634" xr:uid="{00000000-0005-0000-0000-000079020000}"/>
    <cellStyle name="Accent2 5" xfId="635" xr:uid="{00000000-0005-0000-0000-00007A020000}"/>
    <cellStyle name="Accent2 6" xfId="636" xr:uid="{00000000-0005-0000-0000-00007B020000}"/>
    <cellStyle name="Accent3" xfId="637" xr:uid="{00000000-0005-0000-0000-00007C020000}"/>
    <cellStyle name="Accent3 2" xfId="638" xr:uid="{00000000-0005-0000-0000-00007D020000}"/>
    <cellStyle name="Accent3 3" xfId="639" xr:uid="{00000000-0005-0000-0000-00007E020000}"/>
    <cellStyle name="Accent3 4" xfId="640" xr:uid="{00000000-0005-0000-0000-00007F020000}"/>
    <cellStyle name="Accent3 5" xfId="641" xr:uid="{00000000-0005-0000-0000-000080020000}"/>
    <cellStyle name="Accent3 6" xfId="642" xr:uid="{00000000-0005-0000-0000-000081020000}"/>
    <cellStyle name="Accent4" xfId="643" xr:uid="{00000000-0005-0000-0000-000082020000}"/>
    <cellStyle name="Accent4 2" xfId="644" xr:uid="{00000000-0005-0000-0000-000083020000}"/>
    <cellStyle name="Accent4 3" xfId="645" xr:uid="{00000000-0005-0000-0000-000084020000}"/>
    <cellStyle name="Accent4 4" xfId="646" xr:uid="{00000000-0005-0000-0000-000085020000}"/>
    <cellStyle name="Accent4 5" xfId="647" xr:uid="{00000000-0005-0000-0000-000086020000}"/>
    <cellStyle name="Accent4 6" xfId="648" xr:uid="{00000000-0005-0000-0000-000087020000}"/>
    <cellStyle name="Accent5" xfId="649" xr:uid="{00000000-0005-0000-0000-000088020000}"/>
    <cellStyle name="Accent5 2" xfId="650" xr:uid="{00000000-0005-0000-0000-000089020000}"/>
    <cellStyle name="Accent5 3" xfId="651" xr:uid="{00000000-0005-0000-0000-00008A020000}"/>
    <cellStyle name="Accent5 4" xfId="652" xr:uid="{00000000-0005-0000-0000-00008B020000}"/>
    <cellStyle name="Accent5 5" xfId="653" xr:uid="{00000000-0005-0000-0000-00008C020000}"/>
    <cellStyle name="Accent5 6" xfId="654" xr:uid="{00000000-0005-0000-0000-00008D020000}"/>
    <cellStyle name="Accent6" xfId="655" xr:uid="{00000000-0005-0000-0000-00008E020000}"/>
    <cellStyle name="Accent6 2" xfId="656" xr:uid="{00000000-0005-0000-0000-00008F020000}"/>
    <cellStyle name="Accent6 3" xfId="657" xr:uid="{00000000-0005-0000-0000-000090020000}"/>
    <cellStyle name="Accent6 4" xfId="658" xr:uid="{00000000-0005-0000-0000-000091020000}"/>
    <cellStyle name="Accent6 5" xfId="659" xr:uid="{00000000-0005-0000-0000-000092020000}"/>
    <cellStyle name="Accent6 6" xfId="660" xr:uid="{00000000-0005-0000-0000-000093020000}"/>
    <cellStyle name="ACIKLAMA" xfId="661" xr:uid="{00000000-0005-0000-0000-000094020000}"/>
    <cellStyle name="Arial 10" xfId="662" xr:uid="{00000000-0005-0000-0000-000095020000}"/>
    <cellStyle name="Arial 12" xfId="663" xr:uid="{00000000-0005-0000-0000-000096020000}"/>
    <cellStyle name="Bad" xfId="664" xr:uid="{00000000-0005-0000-0000-000097020000}"/>
    <cellStyle name="Bad 2" xfId="665" xr:uid="{00000000-0005-0000-0000-000098020000}"/>
    <cellStyle name="Bad 3" xfId="666" xr:uid="{00000000-0005-0000-0000-000099020000}"/>
    <cellStyle name="Bad 4" xfId="667" xr:uid="{00000000-0005-0000-0000-00009A020000}"/>
    <cellStyle name="Bad 5" xfId="668" xr:uid="{00000000-0005-0000-0000-00009B020000}"/>
    <cellStyle name="Bad 6" xfId="669" xr:uid="{00000000-0005-0000-0000-00009C020000}"/>
    <cellStyle name="BASLIK" xfId="670" xr:uid="{00000000-0005-0000-0000-00009D020000}"/>
    <cellStyle name="BASLIK 2" xfId="671" xr:uid="{00000000-0005-0000-0000-00009E020000}"/>
    <cellStyle name="BASLIK 3" xfId="672" xr:uid="{00000000-0005-0000-0000-00009F020000}"/>
    <cellStyle name="BASLIK 4" xfId="673" xr:uid="{00000000-0005-0000-0000-0000A0020000}"/>
    <cellStyle name="BASLIKl" xfId="674" xr:uid="{00000000-0005-0000-0000-0000A1020000}"/>
    <cellStyle name="BASLIKl 2" xfId="675" xr:uid="{00000000-0005-0000-0000-0000A2020000}"/>
    <cellStyle name="BASLIKl 3" xfId="676" xr:uid="{00000000-0005-0000-0000-0000A3020000}"/>
    <cellStyle name="BASLIKl 4" xfId="677" xr:uid="{00000000-0005-0000-0000-0000A4020000}"/>
    <cellStyle name="BODY" xfId="678" xr:uid="{00000000-0005-0000-0000-0000A5020000}"/>
    <cellStyle name="British Pound" xfId="679" xr:uid="{00000000-0005-0000-0000-0000A6020000}"/>
    <cellStyle name="British Pound 2" xfId="680" xr:uid="{00000000-0005-0000-0000-0000A7020000}"/>
    <cellStyle name="British Pound 3" xfId="681" xr:uid="{00000000-0005-0000-0000-0000A8020000}"/>
    <cellStyle name="British Pound 4" xfId="682" xr:uid="{00000000-0005-0000-0000-0000A9020000}"/>
    <cellStyle name="Calc Currency (0)" xfId="683" xr:uid="{00000000-0005-0000-0000-0000AA020000}"/>
    <cellStyle name="Calc Currency (0) 2" xfId="684" xr:uid="{00000000-0005-0000-0000-0000AB020000}"/>
    <cellStyle name="Calc Currency (0) 3" xfId="685" xr:uid="{00000000-0005-0000-0000-0000AC020000}"/>
    <cellStyle name="Calc Currency (0) 4" xfId="686" xr:uid="{00000000-0005-0000-0000-0000AD020000}"/>
    <cellStyle name="Calc Currency (2)" xfId="687" xr:uid="{00000000-0005-0000-0000-0000AE020000}"/>
    <cellStyle name="Calc Currency (2) 2" xfId="688" xr:uid="{00000000-0005-0000-0000-0000AF020000}"/>
    <cellStyle name="Calc Currency (2) 3" xfId="689" xr:uid="{00000000-0005-0000-0000-0000B0020000}"/>
    <cellStyle name="Calc Currency (2) 4" xfId="690" xr:uid="{00000000-0005-0000-0000-0000B1020000}"/>
    <cellStyle name="Calc Percent (0)" xfId="691" xr:uid="{00000000-0005-0000-0000-0000B2020000}"/>
    <cellStyle name="Calc Percent (0) 2" xfId="692" xr:uid="{00000000-0005-0000-0000-0000B3020000}"/>
    <cellStyle name="Calc Percent (0) 3" xfId="693" xr:uid="{00000000-0005-0000-0000-0000B4020000}"/>
    <cellStyle name="Calc Percent (0) 4" xfId="694" xr:uid="{00000000-0005-0000-0000-0000B5020000}"/>
    <cellStyle name="Calc Percent (1)" xfId="695" xr:uid="{00000000-0005-0000-0000-0000B6020000}"/>
    <cellStyle name="Calc Percent (1) 2" xfId="696" xr:uid="{00000000-0005-0000-0000-0000B7020000}"/>
    <cellStyle name="Calc Percent (1) 3" xfId="697" xr:uid="{00000000-0005-0000-0000-0000B8020000}"/>
    <cellStyle name="Calc Percent (1) 4" xfId="698" xr:uid="{00000000-0005-0000-0000-0000B9020000}"/>
    <cellStyle name="Calc Percent (2)" xfId="699" xr:uid="{00000000-0005-0000-0000-0000BA020000}"/>
    <cellStyle name="Calc Percent (2) 2" xfId="700" xr:uid="{00000000-0005-0000-0000-0000BB020000}"/>
    <cellStyle name="Calc Percent (2) 3" xfId="701" xr:uid="{00000000-0005-0000-0000-0000BC020000}"/>
    <cellStyle name="Calc Percent (2) 4" xfId="702" xr:uid="{00000000-0005-0000-0000-0000BD020000}"/>
    <cellStyle name="Calc Units (0)" xfId="703" xr:uid="{00000000-0005-0000-0000-0000BE020000}"/>
    <cellStyle name="Calc Units (0) 2" xfId="704" xr:uid="{00000000-0005-0000-0000-0000BF020000}"/>
    <cellStyle name="Calc Units (0) 3" xfId="705" xr:uid="{00000000-0005-0000-0000-0000C0020000}"/>
    <cellStyle name="Calc Units (0) 4" xfId="706" xr:uid="{00000000-0005-0000-0000-0000C1020000}"/>
    <cellStyle name="Calc Units (1)" xfId="707" xr:uid="{00000000-0005-0000-0000-0000C2020000}"/>
    <cellStyle name="Calc Units (1) 2" xfId="708" xr:uid="{00000000-0005-0000-0000-0000C3020000}"/>
    <cellStyle name="Calc Units (1) 3" xfId="709" xr:uid="{00000000-0005-0000-0000-0000C4020000}"/>
    <cellStyle name="Calc Units (1) 4" xfId="710" xr:uid="{00000000-0005-0000-0000-0000C5020000}"/>
    <cellStyle name="Calc Units (2)" xfId="711" xr:uid="{00000000-0005-0000-0000-0000C6020000}"/>
    <cellStyle name="Calc Units (2) 2" xfId="712" xr:uid="{00000000-0005-0000-0000-0000C7020000}"/>
    <cellStyle name="Calc Units (2) 3" xfId="713" xr:uid="{00000000-0005-0000-0000-0000C8020000}"/>
    <cellStyle name="Calc Units (2) 4" xfId="714" xr:uid="{00000000-0005-0000-0000-0000C9020000}"/>
    <cellStyle name="Calculation" xfId="715" xr:uid="{00000000-0005-0000-0000-0000CA020000}"/>
    <cellStyle name="Calculation 2" xfId="716" xr:uid="{00000000-0005-0000-0000-0000CB020000}"/>
    <cellStyle name="Calculation 3" xfId="717" xr:uid="{00000000-0005-0000-0000-0000CC020000}"/>
    <cellStyle name="Calculation 4" xfId="718" xr:uid="{00000000-0005-0000-0000-0000CD020000}"/>
    <cellStyle name="Calculation 5" xfId="719" xr:uid="{00000000-0005-0000-0000-0000CE020000}"/>
    <cellStyle name="Calculation 6" xfId="720" xr:uid="{00000000-0005-0000-0000-0000CF020000}"/>
    <cellStyle name="Check Cell" xfId="721" xr:uid="{00000000-0005-0000-0000-0000D0020000}"/>
    <cellStyle name="Check Cell 2" xfId="722" xr:uid="{00000000-0005-0000-0000-0000D1020000}"/>
    <cellStyle name="Check Cell 3" xfId="723" xr:uid="{00000000-0005-0000-0000-0000D2020000}"/>
    <cellStyle name="Check Cell 4" xfId="724" xr:uid="{00000000-0005-0000-0000-0000D3020000}"/>
    <cellStyle name="Check Cell 5" xfId="725" xr:uid="{00000000-0005-0000-0000-0000D4020000}"/>
    <cellStyle name="Check Cell 6" xfId="726" xr:uid="{00000000-0005-0000-0000-0000D5020000}"/>
    <cellStyle name="Column_Title" xfId="727" xr:uid="{00000000-0005-0000-0000-0000D6020000}"/>
    <cellStyle name="Comma  - Style1" xfId="728" xr:uid="{00000000-0005-0000-0000-0000D7020000}"/>
    <cellStyle name="Comma  - Style1 2" xfId="729" xr:uid="{00000000-0005-0000-0000-0000D8020000}"/>
    <cellStyle name="Comma  - Style1 3" xfId="730" xr:uid="{00000000-0005-0000-0000-0000D9020000}"/>
    <cellStyle name="Comma  - Style1 4" xfId="731" xr:uid="{00000000-0005-0000-0000-0000DA020000}"/>
    <cellStyle name="Comma  - Style2" xfId="732" xr:uid="{00000000-0005-0000-0000-0000DB020000}"/>
    <cellStyle name="Comma  - Style2 2" xfId="733" xr:uid="{00000000-0005-0000-0000-0000DC020000}"/>
    <cellStyle name="Comma  - Style2 3" xfId="734" xr:uid="{00000000-0005-0000-0000-0000DD020000}"/>
    <cellStyle name="Comma  - Style2 4" xfId="735" xr:uid="{00000000-0005-0000-0000-0000DE020000}"/>
    <cellStyle name="Comma  - Style3" xfId="736" xr:uid="{00000000-0005-0000-0000-0000DF020000}"/>
    <cellStyle name="Comma  - Style3 2" xfId="737" xr:uid="{00000000-0005-0000-0000-0000E0020000}"/>
    <cellStyle name="Comma  - Style3 3" xfId="738" xr:uid="{00000000-0005-0000-0000-0000E1020000}"/>
    <cellStyle name="Comma  - Style3 4" xfId="739" xr:uid="{00000000-0005-0000-0000-0000E2020000}"/>
    <cellStyle name="Comma  - Style4" xfId="740" xr:uid="{00000000-0005-0000-0000-0000E3020000}"/>
    <cellStyle name="Comma  - Style4 2" xfId="741" xr:uid="{00000000-0005-0000-0000-0000E4020000}"/>
    <cellStyle name="Comma  - Style4 3" xfId="742" xr:uid="{00000000-0005-0000-0000-0000E5020000}"/>
    <cellStyle name="Comma  - Style4 4" xfId="743" xr:uid="{00000000-0005-0000-0000-0000E6020000}"/>
    <cellStyle name="Comma  - Style5" xfId="744" xr:uid="{00000000-0005-0000-0000-0000E7020000}"/>
    <cellStyle name="Comma  - Style5 2" xfId="745" xr:uid="{00000000-0005-0000-0000-0000E8020000}"/>
    <cellStyle name="Comma  - Style5 3" xfId="746" xr:uid="{00000000-0005-0000-0000-0000E9020000}"/>
    <cellStyle name="Comma  - Style5 4" xfId="747" xr:uid="{00000000-0005-0000-0000-0000EA020000}"/>
    <cellStyle name="Comma  - Style6" xfId="748" xr:uid="{00000000-0005-0000-0000-0000EB020000}"/>
    <cellStyle name="Comma  - Style6 2" xfId="749" xr:uid="{00000000-0005-0000-0000-0000EC020000}"/>
    <cellStyle name="Comma  - Style6 3" xfId="750" xr:uid="{00000000-0005-0000-0000-0000ED020000}"/>
    <cellStyle name="Comma  - Style6 4" xfId="751" xr:uid="{00000000-0005-0000-0000-0000EE020000}"/>
    <cellStyle name="Comma  - Style7" xfId="752" xr:uid="{00000000-0005-0000-0000-0000EF020000}"/>
    <cellStyle name="Comma  - Style7 2" xfId="753" xr:uid="{00000000-0005-0000-0000-0000F0020000}"/>
    <cellStyle name="Comma  - Style7 3" xfId="754" xr:uid="{00000000-0005-0000-0000-0000F1020000}"/>
    <cellStyle name="Comma  - Style7 4" xfId="755" xr:uid="{00000000-0005-0000-0000-0000F2020000}"/>
    <cellStyle name="Comma  - Style8" xfId="756" xr:uid="{00000000-0005-0000-0000-0000F3020000}"/>
    <cellStyle name="Comma  - Style8 2" xfId="757" xr:uid="{00000000-0005-0000-0000-0000F4020000}"/>
    <cellStyle name="Comma  - Style8 3" xfId="758" xr:uid="{00000000-0005-0000-0000-0000F5020000}"/>
    <cellStyle name="Comma  - Style8 4" xfId="759" xr:uid="{00000000-0005-0000-0000-0000F6020000}"/>
    <cellStyle name="Comma [00]" xfId="760" xr:uid="{00000000-0005-0000-0000-0000F7020000}"/>
    <cellStyle name="Comma [00] 2" xfId="761" xr:uid="{00000000-0005-0000-0000-0000F8020000}"/>
    <cellStyle name="Comma [00] 3" xfId="762" xr:uid="{00000000-0005-0000-0000-0000F9020000}"/>
    <cellStyle name="Comma [00] 4" xfId="763" xr:uid="{00000000-0005-0000-0000-0000FA020000}"/>
    <cellStyle name="Comma_A3.10 BD_transformation_12m2005 AWS (version 1)" xfId="764" xr:uid="{00000000-0005-0000-0000-0000FB020000}"/>
    <cellStyle name="Comma0" xfId="765" xr:uid="{00000000-0005-0000-0000-0000FC020000}"/>
    <cellStyle name="Comma0 - Biçem2" xfId="766" xr:uid="{00000000-0005-0000-0000-0000FD020000}"/>
    <cellStyle name="ContentsHyperlink" xfId="767" xr:uid="{00000000-0005-0000-0000-0000FE020000}"/>
    <cellStyle name="Currency [00]" xfId="768" xr:uid="{00000000-0005-0000-0000-0000FF020000}"/>
    <cellStyle name="Currency [00] 2" xfId="769" xr:uid="{00000000-0005-0000-0000-000000030000}"/>
    <cellStyle name="Currency [00] 3" xfId="770" xr:uid="{00000000-0005-0000-0000-000001030000}"/>
    <cellStyle name="Currency [00] 4" xfId="771" xr:uid="{00000000-0005-0000-0000-000002030000}"/>
    <cellStyle name="Currency_SimpleLeaseDCF" xfId="772" xr:uid="{00000000-0005-0000-0000-000003030000}"/>
    <cellStyle name="Date" xfId="773" xr:uid="{00000000-0005-0000-0000-000004030000}"/>
    <cellStyle name="Date 2" xfId="774" xr:uid="{00000000-0005-0000-0000-000005030000}"/>
    <cellStyle name="Date 3" xfId="775" xr:uid="{00000000-0005-0000-0000-000006030000}"/>
    <cellStyle name="Date 4" xfId="776" xr:uid="{00000000-0005-0000-0000-000007030000}"/>
    <cellStyle name="Date Short" xfId="777" xr:uid="{00000000-0005-0000-0000-000008030000}"/>
    <cellStyle name="Details" xfId="778" xr:uid="{00000000-0005-0000-0000-000009030000}"/>
    <cellStyle name="Details 2" xfId="779" xr:uid="{00000000-0005-0000-0000-00000A030000}"/>
    <cellStyle name="Details 3" xfId="780" xr:uid="{00000000-0005-0000-0000-00000B030000}"/>
    <cellStyle name="Details 4" xfId="781" xr:uid="{00000000-0005-0000-0000-00000C030000}"/>
    <cellStyle name="DetailsDate" xfId="782" xr:uid="{00000000-0005-0000-0000-00000D030000}"/>
    <cellStyle name="DetailsDate 2" xfId="783" xr:uid="{00000000-0005-0000-0000-00000E030000}"/>
    <cellStyle name="DetailsDate 3" xfId="784" xr:uid="{00000000-0005-0000-0000-00000F030000}"/>
    <cellStyle name="DetailsDate 4" xfId="785" xr:uid="{00000000-0005-0000-0000-000010030000}"/>
    <cellStyle name="DetailsHeader" xfId="786" xr:uid="{00000000-0005-0000-0000-000011030000}"/>
    <cellStyle name="DetailsHeader 2" xfId="787" xr:uid="{00000000-0005-0000-0000-000012030000}"/>
    <cellStyle name="DetailsHeader 3" xfId="788" xr:uid="{00000000-0005-0000-0000-000013030000}"/>
    <cellStyle name="DetailsHeader 4" xfId="789" xr:uid="{00000000-0005-0000-0000-000014030000}"/>
    <cellStyle name="Dezimal [0]_Data_input_2-0" xfId="790" xr:uid="{00000000-0005-0000-0000-000015030000}"/>
    <cellStyle name="Dezimal_Data_input_2-0" xfId="791" xr:uid="{00000000-0005-0000-0000-000016030000}"/>
    <cellStyle name="Double Accounting" xfId="792" xr:uid="{00000000-0005-0000-0000-000017030000}"/>
    <cellStyle name="Double Accounting 2" xfId="793" xr:uid="{00000000-0005-0000-0000-000018030000}"/>
    <cellStyle name="Double Accounting 3" xfId="794" xr:uid="{00000000-0005-0000-0000-000019030000}"/>
    <cellStyle name="Double Accounting 4" xfId="795" xr:uid="{00000000-0005-0000-0000-00001A030000}"/>
    <cellStyle name="E&amp;Y House" xfId="796" xr:uid="{00000000-0005-0000-0000-00001B030000}"/>
    <cellStyle name="E&amp;Y House 2" xfId="797" xr:uid="{00000000-0005-0000-0000-00001C030000}"/>
    <cellStyle name="E&amp;Y House 3" xfId="798" xr:uid="{00000000-0005-0000-0000-00001D030000}"/>
    <cellStyle name="E&amp;Y House 4" xfId="799" xr:uid="{00000000-0005-0000-0000-00001E030000}"/>
    <cellStyle name="Enter Currency (0)" xfId="800" xr:uid="{00000000-0005-0000-0000-00001F030000}"/>
    <cellStyle name="Enter Currency (0) 2" xfId="801" xr:uid="{00000000-0005-0000-0000-000020030000}"/>
    <cellStyle name="Enter Currency (0) 3" xfId="802" xr:uid="{00000000-0005-0000-0000-000021030000}"/>
    <cellStyle name="Enter Currency (0) 4" xfId="803" xr:uid="{00000000-0005-0000-0000-000022030000}"/>
    <cellStyle name="Enter Currency (2)" xfId="804" xr:uid="{00000000-0005-0000-0000-000023030000}"/>
    <cellStyle name="Enter Currency (2) 2" xfId="805" xr:uid="{00000000-0005-0000-0000-000024030000}"/>
    <cellStyle name="Enter Currency (2) 3" xfId="806" xr:uid="{00000000-0005-0000-0000-000025030000}"/>
    <cellStyle name="Enter Currency (2) 4" xfId="807" xr:uid="{00000000-0005-0000-0000-000026030000}"/>
    <cellStyle name="Enter Units (0)" xfId="808" xr:uid="{00000000-0005-0000-0000-000027030000}"/>
    <cellStyle name="Enter Units (0) 2" xfId="809" xr:uid="{00000000-0005-0000-0000-000028030000}"/>
    <cellStyle name="Enter Units (0) 3" xfId="810" xr:uid="{00000000-0005-0000-0000-000029030000}"/>
    <cellStyle name="Enter Units (0) 4" xfId="811" xr:uid="{00000000-0005-0000-0000-00002A030000}"/>
    <cellStyle name="Enter Units (1)" xfId="812" xr:uid="{00000000-0005-0000-0000-00002B030000}"/>
    <cellStyle name="Enter Units (1) 2" xfId="813" xr:uid="{00000000-0005-0000-0000-00002C030000}"/>
    <cellStyle name="Enter Units (1) 3" xfId="814" xr:uid="{00000000-0005-0000-0000-00002D030000}"/>
    <cellStyle name="Enter Units (1) 4" xfId="815" xr:uid="{00000000-0005-0000-0000-00002E030000}"/>
    <cellStyle name="Enter Units (2)" xfId="816" xr:uid="{00000000-0005-0000-0000-00002F030000}"/>
    <cellStyle name="Enter Units (2) 2" xfId="817" xr:uid="{00000000-0005-0000-0000-000030030000}"/>
    <cellStyle name="Enter Units (2) 3" xfId="818" xr:uid="{00000000-0005-0000-0000-000031030000}"/>
    <cellStyle name="Enter Units (2) 4" xfId="819" xr:uid="{00000000-0005-0000-0000-000032030000}"/>
    <cellStyle name="Euro" xfId="820" xr:uid="{00000000-0005-0000-0000-000033030000}"/>
    <cellStyle name="Euro 2" xfId="821" xr:uid="{00000000-0005-0000-0000-000034030000}"/>
    <cellStyle name="Euro 3" xfId="822" xr:uid="{00000000-0005-0000-0000-000035030000}"/>
    <cellStyle name="Euro 4" xfId="823" xr:uid="{00000000-0005-0000-0000-000036030000}"/>
    <cellStyle name="ew" xfId="824" xr:uid="{00000000-0005-0000-0000-000037030000}"/>
    <cellStyle name="ew 2" xfId="825" xr:uid="{00000000-0005-0000-0000-000038030000}"/>
    <cellStyle name="ew 3" xfId="826" xr:uid="{00000000-0005-0000-0000-000039030000}"/>
    <cellStyle name="ew 4" xfId="827" xr:uid="{00000000-0005-0000-0000-00003A030000}"/>
    <cellStyle name="Explanatory Text" xfId="828" xr:uid="{00000000-0005-0000-0000-00003B030000}"/>
    <cellStyle name="Explanatory Text 2" xfId="829" xr:uid="{00000000-0005-0000-0000-00003C030000}"/>
    <cellStyle name="Explanatory Text 3" xfId="830" xr:uid="{00000000-0005-0000-0000-00003D030000}"/>
    <cellStyle name="f‰H_x0010_‹Ëf‰h,ÿt$_x0018_è¸Wÿÿé&gt;Ëÿÿ÷Ç_x0001_" xfId="831" xr:uid="{00000000-0005-0000-0000-00003E030000}"/>
    <cellStyle name="f‰H_x0010_‹Ëf‰h,ÿt$_x0018_è¸Wÿÿé&gt;Ëÿÿ÷Ç_x0001_ 2" xfId="832" xr:uid="{00000000-0005-0000-0000-00003F030000}"/>
    <cellStyle name="f‰H_x0010_‹Ëf‰h,ÿt$_x0018_è¸Wÿÿé&gt;Ëÿÿ÷Ç_x0001_ 3" xfId="833" xr:uid="{00000000-0005-0000-0000-000040030000}"/>
    <cellStyle name="f‰H_x0010_‹Ëf‰h,ÿt$_x0018_è¸Wÿÿé&gt;Ëÿÿ÷Ç_x0001_ 4" xfId="834" xr:uid="{00000000-0005-0000-0000-000041030000}"/>
    <cellStyle name="Firm" xfId="835" xr:uid="{00000000-0005-0000-0000-000042030000}"/>
    <cellStyle name="Fixed" xfId="836" xr:uid="{00000000-0005-0000-0000-000043030000}"/>
    <cellStyle name="Fixed 2" xfId="837" xr:uid="{00000000-0005-0000-0000-000044030000}"/>
    <cellStyle name="Fixed 3" xfId="838" xr:uid="{00000000-0005-0000-0000-000045030000}"/>
    <cellStyle name="Fixed 4" xfId="839" xr:uid="{00000000-0005-0000-0000-000046030000}"/>
    <cellStyle name="FIYAT" xfId="840" xr:uid="{00000000-0005-0000-0000-000047030000}"/>
    <cellStyle name="FIYAT 2" xfId="841" xr:uid="{00000000-0005-0000-0000-000048030000}"/>
    <cellStyle name="FIYAT 3" xfId="842" xr:uid="{00000000-0005-0000-0000-000049030000}"/>
    <cellStyle name="FIYAT 4" xfId="843" xr:uid="{00000000-0005-0000-0000-00004A030000}"/>
    <cellStyle name="Good" xfId="844" xr:uid="{00000000-0005-0000-0000-00004B030000}"/>
    <cellStyle name="Good 2" xfId="845" xr:uid="{00000000-0005-0000-0000-00004C030000}"/>
    <cellStyle name="Good 3" xfId="846" xr:uid="{00000000-0005-0000-0000-00004D030000}"/>
    <cellStyle name="Good 4" xfId="847" xr:uid="{00000000-0005-0000-0000-00004E030000}"/>
    <cellStyle name="Good 5" xfId="848" xr:uid="{00000000-0005-0000-0000-00004F030000}"/>
    <cellStyle name="Good 6" xfId="849" xr:uid="{00000000-0005-0000-0000-000050030000}"/>
    <cellStyle name="Grey" xfId="850" xr:uid="{00000000-0005-0000-0000-000051030000}"/>
    <cellStyle name="Grey 2" xfId="851" xr:uid="{00000000-0005-0000-0000-000052030000}"/>
    <cellStyle name="Grey 3" xfId="852" xr:uid="{00000000-0005-0000-0000-000053030000}"/>
    <cellStyle name="Grey 4" xfId="853" xr:uid="{00000000-0005-0000-0000-000054030000}"/>
    <cellStyle name="GRUP" xfId="854" xr:uid="{00000000-0005-0000-0000-000055030000}"/>
    <cellStyle name="GRUP 2" xfId="855" xr:uid="{00000000-0005-0000-0000-000056030000}"/>
    <cellStyle name="GRUP 3" xfId="856" xr:uid="{00000000-0005-0000-0000-000057030000}"/>
    <cellStyle name="GRUP 4" xfId="857" xr:uid="{00000000-0005-0000-0000-000058030000}"/>
    <cellStyle name="HEADER" xfId="858" xr:uid="{00000000-0005-0000-0000-000059030000}"/>
    <cellStyle name="HEADER 2" xfId="859" xr:uid="{00000000-0005-0000-0000-00005A030000}"/>
    <cellStyle name="HEADER 3" xfId="860" xr:uid="{00000000-0005-0000-0000-00005B030000}"/>
    <cellStyle name="HEADER 4" xfId="861" xr:uid="{00000000-0005-0000-0000-00005C030000}"/>
    <cellStyle name="Header1" xfId="862" xr:uid="{00000000-0005-0000-0000-00005D030000}"/>
    <cellStyle name="Header1 2" xfId="863" xr:uid="{00000000-0005-0000-0000-00005E030000}"/>
    <cellStyle name="Header1 3" xfId="864" xr:uid="{00000000-0005-0000-0000-00005F030000}"/>
    <cellStyle name="Header1 4" xfId="865" xr:uid="{00000000-0005-0000-0000-000060030000}"/>
    <cellStyle name="HEADER2" xfId="866" xr:uid="{00000000-0005-0000-0000-000061030000}"/>
    <cellStyle name="HEADER2 2" xfId="867" xr:uid="{00000000-0005-0000-0000-000062030000}"/>
    <cellStyle name="HEADER2 3" xfId="868" xr:uid="{00000000-0005-0000-0000-000063030000}"/>
    <cellStyle name="HEADER2 4" xfId="869" xr:uid="{00000000-0005-0000-0000-000064030000}"/>
    <cellStyle name="Heading" xfId="870" xr:uid="{00000000-0005-0000-0000-000065030000}"/>
    <cellStyle name="Heading 1" xfId="871" xr:uid="{00000000-0005-0000-0000-000066030000}"/>
    <cellStyle name="Heading 1 2" xfId="872" xr:uid="{00000000-0005-0000-0000-000067030000}"/>
    <cellStyle name="Heading 1 3" xfId="873" xr:uid="{00000000-0005-0000-0000-000068030000}"/>
    <cellStyle name="Heading 2" xfId="874" xr:uid="{00000000-0005-0000-0000-000069030000}"/>
    <cellStyle name="Heading 2 2" xfId="875" xr:uid="{00000000-0005-0000-0000-00006A030000}"/>
    <cellStyle name="Heading 2 3" xfId="876" xr:uid="{00000000-0005-0000-0000-00006B030000}"/>
    <cellStyle name="Heading 3" xfId="877" xr:uid="{00000000-0005-0000-0000-00006C030000}"/>
    <cellStyle name="Heading 3 2" xfId="878" xr:uid="{00000000-0005-0000-0000-00006D030000}"/>
    <cellStyle name="Heading 3 3" xfId="879" xr:uid="{00000000-0005-0000-0000-00006E030000}"/>
    <cellStyle name="Heading 4" xfId="880" xr:uid="{00000000-0005-0000-0000-00006F030000}"/>
    <cellStyle name="Heading 4 2" xfId="881" xr:uid="{00000000-0005-0000-0000-000070030000}"/>
    <cellStyle name="Heading 4 3" xfId="882" xr:uid="{00000000-0005-0000-0000-000071030000}"/>
    <cellStyle name="Heading1" xfId="883" xr:uid="{00000000-0005-0000-0000-000072030000}"/>
    <cellStyle name="Heading1 2" xfId="884" xr:uid="{00000000-0005-0000-0000-000073030000}"/>
    <cellStyle name="Heading1 3" xfId="885" xr:uid="{00000000-0005-0000-0000-000074030000}"/>
    <cellStyle name="Heading1 4" xfId="886" xr:uid="{00000000-0005-0000-0000-000075030000}"/>
    <cellStyle name="Heading2" xfId="887" xr:uid="{00000000-0005-0000-0000-000076030000}"/>
    <cellStyle name="Heading2 2" xfId="888" xr:uid="{00000000-0005-0000-0000-000077030000}"/>
    <cellStyle name="Heading2 3" xfId="889" xr:uid="{00000000-0005-0000-0000-000078030000}"/>
    <cellStyle name="Heading2 4" xfId="890" xr:uid="{00000000-0005-0000-0000-000079030000}"/>
    <cellStyle name="Îáû÷íûé_cogs" xfId="891" xr:uid="{00000000-0005-0000-0000-00007A030000}"/>
    <cellStyle name="Info" xfId="892" xr:uid="{00000000-0005-0000-0000-00007B030000}"/>
    <cellStyle name="Info 2" xfId="893" xr:uid="{00000000-0005-0000-0000-00007C030000}"/>
    <cellStyle name="Info 3" xfId="894" xr:uid="{00000000-0005-0000-0000-00007D030000}"/>
    <cellStyle name="Info 4" xfId="895" xr:uid="{00000000-0005-0000-0000-00007E030000}"/>
    <cellStyle name="Input" xfId="896" xr:uid="{00000000-0005-0000-0000-00007F030000}"/>
    <cellStyle name="Input [yellow]" xfId="897" xr:uid="{00000000-0005-0000-0000-000080030000}"/>
    <cellStyle name="Input [yellow] 2" xfId="898" xr:uid="{00000000-0005-0000-0000-000081030000}"/>
    <cellStyle name="Input [yellow] 3" xfId="899" xr:uid="{00000000-0005-0000-0000-000082030000}"/>
    <cellStyle name="Input [yellow] 4" xfId="900" xr:uid="{00000000-0005-0000-0000-000083030000}"/>
    <cellStyle name="Input 2" xfId="901" xr:uid="{00000000-0005-0000-0000-000084030000}"/>
    <cellStyle name="Input 3" xfId="902" xr:uid="{00000000-0005-0000-0000-000085030000}"/>
    <cellStyle name="Input 4" xfId="903" xr:uid="{00000000-0005-0000-0000-000086030000}"/>
    <cellStyle name="Input 5" xfId="904" xr:uid="{00000000-0005-0000-0000-000087030000}"/>
    <cellStyle name="Input 6" xfId="905" xr:uid="{00000000-0005-0000-0000-000088030000}"/>
    <cellStyle name="Input_Свод АПК 07.05" xfId="906" xr:uid="{00000000-0005-0000-0000-000089030000}"/>
    <cellStyle name="Inputaccnumber" xfId="907" xr:uid="{00000000-0005-0000-0000-00008A030000}"/>
    <cellStyle name="Inputaccnumber 2" xfId="908" xr:uid="{00000000-0005-0000-0000-00008B030000}"/>
    <cellStyle name="Inputaccnumber 3" xfId="909" xr:uid="{00000000-0005-0000-0000-00008C030000}"/>
    <cellStyle name="Inputaccnumber 4" xfId="910" xr:uid="{00000000-0005-0000-0000-00008D030000}"/>
    <cellStyle name="Inputaccnumberlk" xfId="911" xr:uid="{00000000-0005-0000-0000-00008E030000}"/>
    <cellStyle name="Inputaccnumberlk 2" xfId="912" xr:uid="{00000000-0005-0000-0000-00008F030000}"/>
    <cellStyle name="Inputaccnumberlk 3" xfId="913" xr:uid="{00000000-0005-0000-0000-000090030000}"/>
    <cellStyle name="Inputaccnumberlk 4" xfId="914" xr:uid="{00000000-0005-0000-0000-000091030000}"/>
    <cellStyle name="Inputaccnumpaslk" xfId="915" xr:uid="{00000000-0005-0000-0000-000092030000}"/>
    <cellStyle name="Inputaccnumpaslk 2" xfId="916" xr:uid="{00000000-0005-0000-0000-000093030000}"/>
    <cellStyle name="Inputaccnumpaslk 3" xfId="917" xr:uid="{00000000-0005-0000-0000-000094030000}"/>
    <cellStyle name="Inputaccnumpaslk 4" xfId="918" xr:uid="{00000000-0005-0000-0000-000095030000}"/>
    <cellStyle name="Inputdatelk" xfId="919" xr:uid="{00000000-0005-0000-0000-000096030000}"/>
    <cellStyle name="Inputdatelk 2" xfId="920" xr:uid="{00000000-0005-0000-0000-000097030000}"/>
    <cellStyle name="Inputdatelk 3" xfId="921" xr:uid="{00000000-0005-0000-0000-000098030000}"/>
    <cellStyle name="Inputdatelk 4" xfId="922" xr:uid="{00000000-0005-0000-0000-000099030000}"/>
    <cellStyle name="Inputfigsc" xfId="923" xr:uid="{00000000-0005-0000-0000-00009A030000}"/>
    <cellStyle name="Inputfigsc 2" xfId="924" xr:uid="{00000000-0005-0000-0000-00009B030000}"/>
    <cellStyle name="Inputfigsc 3" xfId="925" xr:uid="{00000000-0005-0000-0000-00009C030000}"/>
    <cellStyle name="Inputfigsc 4" xfId="926" xr:uid="{00000000-0005-0000-0000-00009D030000}"/>
    <cellStyle name="Inputname" xfId="927" xr:uid="{00000000-0005-0000-0000-00009E030000}"/>
    <cellStyle name="Inputname 2" xfId="928" xr:uid="{00000000-0005-0000-0000-00009F030000}"/>
    <cellStyle name="Inputname 3" xfId="929" xr:uid="{00000000-0005-0000-0000-0000A0030000}"/>
    <cellStyle name="Inputname 4" xfId="930" xr:uid="{00000000-0005-0000-0000-0000A1030000}"/>
    <cellStyle name="Inputpresentlk" xfId="931" xr:uid="{00000000-0005-0000-0000-0000A2030000}"/>
    <cellStyle name="Inputpresentlk 2" xfId="932" xr:uid="{00000000-0005-0000-0000-0000A3030000}"/>
    <cellStyle name="Inputpresentlk 3" xfId="933" xr:uid="{00000000-0005-0000-0000-0000A4030000}"/>
    <cellStyle name="Inputpresentlk 4" xfId="934" xr:uid="{00000000-0005-0000-0000-0000A5030000}"/>
    <cellStyle name="Inputyearlk" xfId="935" xr:uid="{00000000-0005-0000-0000-0000A6030000}"/>
    <cellStyle name="Inputyearlk 2" xfId="936" xr:uid="{00000000-0005-0000-0000-0000A7030000}"/>
    <cellStyle name="Inputyearlk 3" xfId="937" xr:uid="{00000000-0005-0000-0000-0000A8030000}"/>
    <cellStyle name="Inputyearlk 4" xfId="938" xr:uid="{00000000-0005-0000-0000-0000A9030000}"/>
    <cellStyle name="Inpyear" xfId="939" xr:uid="{00000000-0005-0000-0000-0000AA030000}"/>
    <cellStyle name="Inpyear 2" xfId="940" xr:uid="{00000000-0005-0000-0000-0000AB030000}"/>
    <cellStyle name="Inpyear 3" xfId="941" xr:uid="{00000000-0005-0000-0000-0000AC030000}"/>
    <cellStyle name="Inpyear 4" xfId="942" xr:uid="{00000000-0005-0000-0000-0000AD030000}"/>
    <cellStyle name="İzlenen Köprü" xfId="943" xr:uid="{00000000-0005-0000-0000-0000AE030000}"/>
    <cellStyle name="İzlenen Köprü 2" xfId="944" xr:uid="{00000000-0005-0000-0000-0000AF030000}"/>
    <cellStyle name="İzlenen Köprü 3" xfId="945" xr:uid="{00000000-0005-0000-0000-0000B0030000}"/>
    <cellStyle name="İzlenen Köprü 4" xfId="946" xr:uid="{00000000-0005-0000-0000-0000B1030000}"/>
    <cellStyle name="Köprü" xfId="947" xr:uid="{00000000-0005-0000-0000-0000B2030000}"/>
    <cellStyle name="Köprü 2" xfId="948" xr:uid="{00000000-0005-0000-0000-0000B3030000}"/>
    <cellStyle name="Köprü 3" xfId="949" xr:uid="{00000000-0005-0000-0000-0000B4030000}"/>
    <cellStyle name="Köprü 4" xfId="950" xr:uid="{00000000-0005-0000-0000-0000B5030000}"/>
    <cellStyle name="Lev1" xfId="951" xr:uid="{00000000-0005-0000-0000-0000B6030000}"/>
    <cellStyle name="Lev1 2" xfId="952" xr:uid="{00000000-0005-0000-0000-0000B7030000}"/>
    <cellStyle name="Lev1 3" xfId="953" xr:uid="{00000000-0005-0000-0000-0000B8030000}"/>
    <cellStyle name="Lev1 4" xfId="954" xr:uid="{00000000-0005-0000-0000-0000B9030000}"/>
    <cellStyle name="Lev2" xfId="955" xr:uid="{00000000-0005-0000-0000-0000BA030000}"/>
    <cellStyle name="Lev2 2" xfId="956" xr:uid="{00000000-0005-0000-0000-0000BB030000}"/>
    <cellStyle name="Lev2 3" xfId="957" xr:uid="{00000000-0005-0000-0000-0000BC030000}"/>
    <cellStyle name="Lev2 4" xfId="958" xr:uid="{00000000-0005-0000-0000-0000BD030000}"/>
    <cellStyle name="Lev3" xfId="959" xr:uid="{00000000-0005-0000-0000-0000BE030000}"/>
    <cellStyle name="Lev3 2" xfId="960" xr:uid="{00000000-0005-0000-0000-0000BF030000}"/>
    <cellStyle name="Lev3 3" xfId="961" xr:uid="{00000000-0005-0000-0000-0000C0030000}"/>
    <cellStyle name="Lev3 4" xfId="962" xr:uid="{00000000-0005-0000-0000-0000C1030000}"/>
    <cellStyle name="Link Currency (0)" xfId="963" xr:uid="{00000000-0005-0000-0000-0000C2030000}"/>
    <cellStyle name="Link Currency (0) 2" xfId="964" xr:uid="{00000000-0005-0000-0000-0000C3030000}"/>
    <cellStyle name="Link Currency (0) 3" xfId="965" xr:uid="{00000000-0005-0000-0000-0000C4030000}"/>
    <cellStyle name="Link Currency (0) 4" xfId="966" xr:uid="{00000000-0005-0000-0000-0000C5030000}"/>
    <cellStyle name="Link Currency (2)" xfId="967" xr:uid="{00000000-0005-0000-0000-0000C6030000}"/>
    <cellStyle name="Link Currency (2) 2" xfId="968" xr:uid="{00000000-0005-0000-0000-0000C7030000}"/>
    <cellStyle name="Link Currency (2) 3" xfId="969" xr:uid="{00000000-0005-0000-0000-0000C8030000}"/>
    <cellStyle name="Link Currency (2) 4" xfId="970" xr:uid="{00000000-0005-0000-0000-0000C9030000}"/>
    <cellStyle name="Link Units (0)" xfId="971" xr:uid="{00000000-0005-0000-0000-0000CA030000}"/>
    <cellStyle name="Link Units (0) 2" xfId="972" xr:uid="{00000000-0005-0000-0000-0000CB030000}"/>
    <cellStyle name="Link Units (0) 3" xfId="973" xr:uid="{00000000-0005-0000-0000-0000CC030000}"/>
    <cellStyle name="Link Units (0) 4" xfId="974" xr:uid="{00000000-0005-0000-0000-0000CD030000}"/>
    <cellStyle name="Link Units (1)" xfId="975" xr:uid="{00000000-0005-0000-0000-0000CE030000}"/>
    <cellStyle name="Link Units (1) 2" xfId="976" xr:uid="{00000000-0005-0000-0000-0000CF030000}"/>
    <cellStyle name="Link Units (1) 3" xfId="977" xr:uid="{00000000-0005-0000-0000-0000D0030000}"/>
    <cellStyle name="Link Units (1) 4" xfId="978" xr:uid="{00000000-0005-0000-0000-0000D1030000}"/>
    <cellStyle name="Link Units (2)" xfId="979" xr:uid="{00000000-0005-0000-0000-0000D2030000}"/>
    <cellStyle name="Link Units (2) 2" xfId="980" xr:uid="{00000000-0005-0000-0000-0000D3030000}"/>
    <cellStyle name="Link Units (2) 3" xfId="981" xr:uid="{00000000-0005-0000-0000-0000D4030000}"/>
    <cellStyle name="Link Units (2) 4" xfId="982" xr:uid="{00000000-0005-0000-0000-0000D5030000}"/>
    <cellStyle name="Linked Cell" xfId="983" xr:uid="{00000000-0005-0000-0000-0000D6030000}"/>
    <cellStyle name="Linked Cell 2" xfId="984" xr:uid="{00000000-0005-0000-0000-0000D7030000}"/>
    <cellStyle name="Linked Cell 3" xfId="985" xr:uid="{00000000-0005-0000-0000-0000D8030000}"/>
    <cellStyle name="MAINHEADER" xfId="986" xr:uid="{00000000-0005-0000-0000-0000D9030000}"/>
    <cellStyle name="MAINHEADER 2" xfId="987" xr:uid="{00000000-0005-0000-0000-0000DA030000}"/>
    <cellStyle name="MAINHEADER 3" xfId="988" xr:uid="{00000000-0005-0000-0000-0000DB030000}"/>
    <cellStyle name="MAINHEADER 4" xfId="989" xr:uid="{00000000-0005-0000-0000-0000DC030000}"/>
    <cellStyle name="MARKA" xfId="990" xr:uid="{00000000-0005-0000-0000-0000DD030000}"/>
    <cellStyle name="MARKA 2" xfId="991" xr:uid="{00000000-0005-0000-0000-0000DE030000}"/>
    <cellStyle name="MARKA 3" xfId="992" xr:uid="{00000000-0005-0000-0000-0000DF030000}"/>
    <cellStyle name="MARKA 4" xfId="993" xr:uid="{00000000-0005-0000-0000-0000E0030000}"/>
    <cellStyle name="Migliaia_Investment program 2005" xfId="994" xr:uid="{00000000-0005-0000-0000-0000E1030000}"/>
    <cellStyle name="Millares [0]_RESULTS" xfId="995" xr:uid="{00000000-0005-0000-0000-0000E2030000}"/>
    <cellStyle name="Millares_RESULTS" xfId="996" xr:uid="{00000000-0005-0000-0000-0000E3030000}"/>
    <cellStyle name="Milliers [0]_Conversion Summary" xfId="997" xr:uid="{00000000-0005-0000-0000-0000E4030000}"/>
    <cellStyle name="Milliers_Conversion Summary" xfId="998" xr:uid="{00000000-0005-0000-0000-0000E5030000}"/>
    <cellStyle name="MODEL" xfId="999" xr:uid="{00000000-0005-0000-0000-0000E6030000}"/>
    <cellStyle name="MODEL 2" xfId="1000" xr:uid="{00000000-0005-0000-0000-0000E7030000}"/>
    <cellStyle name="MODEL 3" xfId="1001" xr:uid="{00000000-0005-0000-0000-0000E8030000}"/>
    <cellStyle name="MODEL 4" xfId="1002" xr:uid="{00000000-0005-0000-0000-0000E9030000}"/>
    <cellStyle name="Moneda [0]_RESULTS" xfId="1003" xr:uid="{00000000-0005-0000-0000-0000EA030000}"/>
    <cellStyle name="Moneda_RESULTS" xfId="1004" xr:uid="{00000000-0005-0000-0000-0000EB030000}"/>
    <cellStyle name="Monétaire [0]_RESULTS" xfId="1005" xr:uid="{00000000-0005-0000-0000-0000EC030000}"/>
    <cellStyle name="Monétaire_RESULTS" xfId="1006" xr:uid="{00000000-0005-0000-0000-0000ED030000}"/>
    <cellStyle name="Monйtaire [0]_Conversion Summary" xfId="1007" xr:uid="{00000000-0005-0000-0000-0000EE030000}"/>
    <cellStyle name="Monйtaire_Conversion Summary" xfId="1008" xr:uid="{00000000-0005-0000-0000-0000EF030000}"/>
    <cellStyle name="MS_COL_STYLE" xfId="1009" xr:uid="{00000000-0005-0000-0000-0000F0030000}"/>
    <cellStyle name="Nameenter" xfId="1010" xr:uid="{00000000-0005-0000-0000-0000F1030000}"/>
    <cellStyle name="Nameenter 2" xfId="1011" xr:uid="{00000000-0005-0000-0000-0000F2030000}"/>
    <cellStyle name="Nameenter 3" xfId="1012" xr:uid="{00000000-0005-0000-0000-0000F3030000}"/>
    <cellStyle name="Nameenter 4" xfId="1013" xr:uid="{00000000-0005-0000-0000-0000F4030000}"/>
    <cellStyle name="NavStyleDefault" xfId="1014" xr:uid="{00000000-0005-0000-0000-0000F5030000}"/>
    <cellStyle name="NavStyleDefault 2" xfId="1015" xr:uid="{00000000-0005-0000-0000-0000F6030000}"/>
    <cellStyle name="NavStyleDefault 3" xfId="1016" xr:uid="{00000000-0005-0000-0000-0000F7030000}"/>
    <cellStyle name="NavStyleDefault 4" xfId="1017" xr:uid="{00000000-0005-0000-0000-0000F8030000}"/>
    <cellStyle name="Neutral" xfId="1018" xr:uid="{00000000-0005-0000-0000-0000F9030000}"/>
    <cellStyle name="Neutral 2" xfId="1019" xr:uid="{00000000-0005-0000-0000-0000FA030000}"/>
    <cellStyle name="Neutral 3" xfId="1020" xr:uid="{00000000-0005-0000-0000-0000FB030000}"/>
    <cellStyle name="Neutral 4" xfId="1021" xr:uid="{00000000-0005-0000-0000-0000FC030000}"/>
    <cellStyle name="Neutral 5" xfId="1022" xr:uid="{00000000-0005-0000-0000-0000FD030000}"/>
    <cellStyle name="Neutral 6" xfId="1023" xr:uid="{00000000-0005-0000-0000-0000FE030000}"/>
    <cellStyle name="Norma11l" xfId="1024" xr:uid="{00000000-0005-0000-0000-0000FF030000}"/>
    <cellStyle name="Normal - Style1" xfId="1025" xr:uid="{00000000-0005-0000-0000-000000040000}"/>
    <cellStyle name="Normal - Style1 2" xfId="1026" xr:uid="{00000000-0005-0000-0000-000001040000}"/>
    <cellStyle name="Normal - Style1 3" xfId="1027" xr:uid="{00000000-0005-0000-0000-000002040000}"/>
    <cellStyle name="Normal - Style1 4" xfId="1028" xr:uid="{00000000-0005-0000-0000-000003040000}"/>
    <cellStyle name="Normal." xfId="1029" xr:uid="{00000000-0005-0000-0000-000004040000}"/>
    <cellStyle name="Normal_!RRCASH&amp;" xfId="1030" xr:uid="{00000000-0005-0000-0000-000005040000}"/>
    <cellStyle name="Normale_PRICES" xfId="1031" xr:uid="{00000000-0005-0000-0000-000006040000}"/>
    <cellStyle name="Normalny_24. 02. 97." xfId="1032" xr:uid="{00000000-0005-0000-0000-000007040000}"/>
    <cellStyle name="Normalshade" xfId="1033" xr:uid="{00000000-0005-0000-0000-000008040000}"/>
    <cellStyle name="Normalshade 2" xfId="1034" xr:uid="{00000000-0005-0000-0000-000009040000}"/>
    <cellStyle name="Normalshade 3" xfId="1035" xr:uid="{00000000-0005-0000-0000-00000A040000}"/>
    <cellStyle name="Normalshade 4" xfId="1036" xr:uid="{00000000-0005-0000-0000-00000B040000}"/>
    <cellStyle name="Note" xfId="1037" xr:uid="{00000000-0005-0000-0000-00000C040000}"/>
    <cellStyle name="Note 2" xfId="1038" xr:uid="{00000000-0005-0000-0000-00000D040000}"/>
    <cellStyle name="Note 3" xfId="1039" xr:uid="{00000000-0005-0000-0000-00000E040000}"/>
    <cellStyle name="Note 4" xfId="1040" xr:uid="{00000000-0005-0000-0000-00000F040000}"/>
    <cellStyle name="Note 5" xfId="1041" xr:uid="{00000000-0005-0000-0000-000010040000}"/>
    <cellStyle name="Note 6" xfId="1042" xr:uid="{00000000-0005-0000-0000-000011040000}"/>
    <cellStyle name="Œ…‹æØ‚è [0.00]_laroux" xfId="1043" xr:uid="{00000000-0005-0000-0000-000012040000}"/>
    <cellStyle name="Œ…‹æØ‚è_laroux" xfId="1044" xr:uid="{00000000-0005-0000-0000-000013040000}"/>
    <cellStyle name="Ôèíàíñîâûé [0]_PERSONAL" xfId="1045" xr:uid="{00000000-0005-0000-0000-000014040000}"/>
    <cellStyle name="Ôèíàíñîâûé_PERSONAL" xfId="1046" xr:uid="{00000000-0005-0000-0000-000015040000}"/>
    <cellStyle name="Òûñÿ÷è [0]_cogs" xfId="1047" xr:uid="{00000000-0005-0000-0000-000016040000}"/>
    <cellStyle name="Òûñÿ÷è_cogs" xfId="1048" xr:uid="{00000000-0005-0000-0000-000017040000}"/>
    <cellStyle name="Output" xfId="1049" xr:uid="{00000000-0005-0000-0000-000018040000}"/>
    <cellStyle name="Output 2" xfId="1050" xr:uid="{00000000-0005-0000-0000-000019040000}"/>
    <cellStyle name="Output 3" xfId="1051" xr:uid="{00000000-0005-0000-0000-00001A040000}"/>
    <cellStyle name="Output 4" xfId="1052" xr:uid="{00000000-0005-0000-0000-00001B040000}"/>
    <cellStyle name="Output 5" xfId="1053" xr:uid="{00000000-0005-0000-0000-00001C040000}"/>
    <cellStyle name="Output 6" xfId="1054" xr:uid="{00000000-0005-0000-0000-00001D040000}"/>
    <cellStyle name="ParaBirimi [0]_ICMAL" xfId="1055" xr:uid="{00000000-0005-0000-0000-00001E040000}"/>
    <cellStyle name="ParaBirimi_ICMAL" xfId="1056" xr:uid="{00000000-0005-0000-0000-00001F040000}"/>
    <cellStyle name="Percen - Biçem1" xfId="1057" xr:uid="{00000000-0005-0000-0000-000020040000}"/>
    <cellStyle name="Percent [0]" xfId="1058" xr:uid="{00000000-0005-0000-0000-000021040000}"/>
    <cellStyle name="Percent [0] 2" xfId="1059" xr:uid="{00000000-0005-0000-0000-000022040000}"/>
    <cellStyle name="Percent [0] 3" xfId="1060" xr:uid="{00000000-0005-0000-0000-000023040000}"/>
    <cellStyle name="Percent [0] 4" xfId="1061" xr:uid="{00000000-0005-0000-0000-000024040000}"/>
    <cellStyle name="Percent [00]" xfId="1062" xr:uid="{00000000-0005-0000-0000-000025040000}"/>
    <cellStyle name="Percent [00] 2" xfId="1063" xr:uid="{00000000-0005-0000-0000-000026040000}"/>
    <cellStyle name="Percent [00] 3" xfId="1064" xr:uid="{00000000-0005-0000-0000-000027040000}"/>
    <cellStyle name="Percent [00] 4" xfId="1065" xr:uid="{00000000-0005-0000-0000-000028040000}"/>
    <cellStyle name="Percent [2]" xfId="1066" xr:uid="{00000000-0005-0000-0000-000029040000}"/>
    <cellStyle name="Percent [2] 2" xfId="1067" xr:uid="{00000000-0005-0000-0000-00002A040000}"/>
    <cellStyle name="Percent [2] 3" xfId="1068" xr:uid="{00000000-0005-0000-0000-00002B040000}"/>
    <cellStyle name="Percent [2] 4" xfId="1069" xr:uid="{00000000-0005-0000-0000-00002C040000}"/>
    <cellStyle name="Piug" xfId="1070" xr:uid="{00000000-0005-0000-0000-00002D040000}"/>
    <cellStyle name="Piug 2" xfId="1071" xr:uid="{00000000-0005-0000-0000-00002E040000}"/>
    <cellStyle name="Piug 3" xfId="1072" xr:uid="{00000000-0005-0000-0000-00002F040000}"/>
    <cellStyle name="Piug 4" xfId="1073" xr:uid="{00000000-0005-0000-0000-000030040000}"/>
    <cellStyle name="Plug" xfId="1074" xr:uid="{00000000-0005-0000-0000-000031040000}"/>
    <cellStyle name="Plug 2" xfId="1075" xr:uid="{00000000-0005-0000-0000-000032040000}"/>
    <cellStyle name="Plug 3" xfId="1076" xr:uid="{00000000-0005-0000-0000-000033040000}"/>
    <cellStyle name="Plug 4" xfId="1077" xr:uid="{00000000-0005-0000-0000-000034040000}"/>
    <cellStyle name="PrePop Currency (0)" xfId="1078" xr:uid="{00000000-0005-0000-0000-000035040000}"/>
    <cellStyle name="PrePop Currency (0) 2" xfId="1079" xr:uid="{00000000-0005-0000-0000-000036040000}"/>
    <cellStyle name="PrePop Currency (0) 3" xfId="1080" xr:uid="{00000000-0005-0000-0000-000037040000}"/>
    <cellStyle name="PrePop Currency (0) 4" xfId="1081" xr:uid="{00000000-0005-0000-0000-000038040000}"/>
    <cellStyle name="PrePop Currency (2)" xfId="1082" xr:uid="{00000000-0005-0000-0000-000039040000}"/>
    <cellStyle name="PrePop Units (0)" xfId="1083" xr:uid="{00000000-0005-0000-0000-00003A040000}"/>
    <cellStyle name="PrePop Units (0) 2" xfId="1084" xr:uid="{00000000-0005-0000-0000-00003B040000}"/>
    <cellStyle name="PrePop Units (0) 3" xfId="1085" xr:uid="{00000000-0005-0000-0000-00003C040000}"/>
    <cellStyle name="PrePop Units (0) 4" xfId="1086" xr:uid="{00000000-0005-0000-0000-00003D040000}"/>
    <cellStyle name="PrePop Units (1)" xfId="1087" xr:uid="{00000000-0005-0000-0000-00003E040000}"/>
    <cellStyle name="PrePop Units (2)" xfId="1088" xr:uid="{00000000-0005-0000-0000-00003F040000}"/>
    <cellStyle name="prochrek" xfId="1089" xr:uid="{00000000-0005-0000-0000-000040040000}"/>
    <cellStyle name="prochrek 2" xfId="1090" xr:uid="{00000000-0005-0000-0000-000041040000}"/>
    <cellStyle name="prochrek 3" xfId="1091" xr:uid="{00000000-0005-0000-0000-000042040000}"/>
    <cellStyle name="prochrek 4" xfId="1092" xr:uid="{00000000-0005-0000-0000-000043040000}"/>
    <cellStyle name="SAPBEXstdItem" xfId="1093" xr:uid="{00000000-0005-0000-0000-000044040000}"/>
    <cellStyle name="SAPBEXstdItem 2" xfId="1094" xr:uid="{00000000-0005-0000-0000-000045040000}"/>
    <cellStyle name="SAPBEXstdItem 3" xfId="1095" xr:uid="{00000000-0005-0000-0000-000046040000}"/>
    <cellStyle name="SAPBEXstdItem 4" xfId="1096" xr:uid="{00000000-0005-0000-0000-000047040000}"/>
    <cellStyle name="SAPError" xfId="1097" xr:uid="{00000000-0005-0000-0000-000048040000}"/>
    <cellStyle name="SAPError 2" xfId="1098" xr:uid="{00000000-0005-0000-0000-000049040000}"/>
    <cellStyle name="SAPError 3" xfId="1099" xr:uid="{00000000-0005-0000-0000-00004A040000}"/>
    <cellStyle name="SAPError 4" xfId="1100" xr:uid="{00000000-0005-0000-0000-00004B040000}"/>
    <cellStyle name="SAPKey" xfId="1101" xr:uid="{00000000-0005-0000-0000-00004C040000}"/>
    <cellStyle name="SAPKey 2" xfId="1102" xr:uid="{00000000-0005-0000-0000-00004D040000}"/>
    <cellStyle name="SAPKey 3" xfId="1103" xr:uid="{00000000-0005-0000-0000-00004E040000}"/>
    <cellStyle name="SAPKey 4" xfId="1104" xr:uid="{00000000-0005-0000-0000-00004F040000}"/>
    <cellStyle name="SAPLocked" xfId="1105" xr:uid="{00000000-0005-0000-0000-000050040000}"/>
    <cellStyle name="SAPLocked 2" xfId="1106" xr:uid="{00000000-0005-0000-0000-000051040000}"/>
    <cellStyle name="SAPLocked 3" xfId="1107" xr:uid="{00000000-0005-0000-0000-000052040000}"/>
    <cellStyle name="SAPLocked 4" xfId="1108" xr:uid="{00000000-0005-0000-0000-000053040000}"/>
    <cellStyle name="SAPOutput" xfId="1109" xr:uid="{00000000-0005-0000-0000-000054040000}"/>
    <cellStyle name="SAPOutput 2" xfId="1110" xr:uid="{00000000-0005-0000-0000-000055040000}"/>
    <cellStyle name="SAPOutput 3" xfId="1111" xr:uid="{00000000-0005-0000-0000-000056040000}"/>
    <cellStyle name="SAPOutput 4" xfId="1112" xr:uid="{00000000-0005-0000-0000-000057040000}"/>
    <cellStyle name="SAPSpace" xfId="1113" xr:uid="{00000000-0005-0000-0000-000058040000}"/>
    <cellStyle name="SAPSpace 2" xfId="1114" xr:uid="{00000000-0005-0000-0000-000059040000}"/>
    <cellStyle name="SAPSpace 3" xfId="1115" xr:uid="{00000000-0005-0000-0000-00005A040000}"/>
    <cellStyle name="SAPSpace 4" xfId="1116" xr:uid="{00000000-0005-0000-0000-00005B040000}"/>
    <cellStyle name="SAPText" xfId="1117" xr:uid="{00000000-0005-0000-0000-00005C040000}"/>
    <cellStyle name="SAPText 2" xfId="1118" xr:uid="{00000000-0005-0000-0000-00005D040000}"/>
    <cellStyle name="SAPText 3" xfId="1119" xr:uid="{00000000-0005-0000-0000-00005E040000}"/>
    <cellStyle name="SAPText 4" xfId="1120" xr:uid="{00000000-0005-0000-0000-00005F040000}"/>
    <cellStyle name="SAPUnLocked" xfId="1121" xr:uid="{00000000-0005-0000-0000-000060040000}"/>
    <cellStyle name="SAPUnLocked 2" xfId="1122" xr:uid="{00000000-0005-0000-0000-000061040000}"/>
    <cellStyle name="SAPUnLocked 3" xfId="1123" xr:uid="{00000000-0005-0000-0000-000062040000}"/>
    <cellStyle name="SAPUnLocked 4" xfId="1124" xr:uid="{00000000-0005-0000-0000-000063040000}"/>
    <cellStyle name="Single Accounting" xfId="1125" xr:uid="{00000000-0005-0000-0000-000064040000}"/>
    <cellStyle name="Single Accounting 2" xfId="1126" xr:uid="{00000000-0005-0000-0000-000065040000}"/>
    <cellStyle name="Single Accounting 3" xfId="1127" xr:uid="{00000000-0005-0000-0000-000066040000}"/>
    <cellStyle name="Single Accounting 4" xfId="1128" xr:uid="{00000000-0005-0000-0000-000067040000}"/>
    <cellStyle name="SPOl" xfId="1129" xr:uid="{00000000-0005-0000-0000-000068040000}"/>
    <cellStyle name="SPOl 2" xfId="1130" xr:uid="{00000000-0005-0000-0000-000069040000}"/>
    <cellStyle name="SPOl 3" xfId="1131" xr:uid="{00000000-0005-0000-0000-00006A040000}"/>
    <cellStyle name="SPOl 4" xfId="1132" xr:uid="{00000000-0005-0000-0000-00006B040000}"/>
    <cellStyle name="SS Col Hdr" xfId="1133" xr:uid="{00000000-0005-0000-0000-00006C040000}"/>
    <cellStyle name="SS Col Hdr 2" xfId="1134" xr:uid="{00000000-0005-0000-0000-00006D040000}"/>
    <cellStyle name="SS Col Hdr 3" xfId="1135" xr:uid="{00000000-0005-0000-0000-00006E040000}"/>
    <cellStyle name="SS Col Hdr 4" xfId="1136" xr:uid="{00000000-0005-0000-0000-00006F040000}"/>
    <cellStyle name="SS Dim 1 Blank" xfId="1137" xr:uid="{00000000-0005-0000-0000-000070040000}"/>
    <cellStyle name="SS Dim 1 Blank 2" xfId="1138" xr:uid="{00000000-0005-0000-0000-000071040000}"/>
    <cellStyle name="SS Dim 1 Blank 3" xfId="1139" xr:uid="{00000000-0005-0000-0000-000072040000}"/>
    <cellStyle name="SS Dim 1 Blank 4" xfId="1140" xr:uid="{00000000-0005-0000-0000-000073040000}"/>
    <cellStyle name="SS Dim 1 Title" xfId="1141" xr:uid="{00000000-0005-0000-0000-000074040000}"/>
    <cellStyle name="SS Dim 1 Title 2" xfId="1142" xr:uid="{00000000-0005-0000-0000-000075040000}"/>
    <cellStyle name="SS Dim 1 Title 3" xfId="1143" xr:uid="{00000000-0005-0000-0000-000076040000}"/>
    <cellStyle name="SS Dim 1 Title 4" xfId="1144" xr:uid="{00000000-0005-0000-0000-000077040000}"/>
    <cellStyle name="SS Dim 1 Value" xfId="1145" xr:uid="{00000000-0005-0000-0000-000078040000}"/>
    <cellStyle name="SS Dim 1 Value 2" xfId="1146" xr:uid="{00000000-0005-0000-0000-000079040000}"/>
    <cellStyle name="SS Dim 1 Value 3" xfId="1147" xr:uid="{00000000-0005-0000-0000-00007A040000}"/>
    <cellStyle name="SS Dim 1 Value 4" xfId="1148" xr:uid="{00000000-0005-0000-0000-00007B040000}"/>
    <cellStyle name="SS Dim 2 Blank" xfId="1149" xr:uid="{00000000-0005-0000-0000-00007C040000}"/>
    <cellStyle name="SS Dim 2 Blank 2" xfId="1150" xr:uid="{00000000-0005-0000-0000-00007D040000}"/>
    <cellStyle name="SS Dim 2 Blank 3" xfId="1151" xr:uid="{00000000-0005-0000-0000-00007E040000}"/>
    <cellStyle name="SS Dim 2 Blank 4" xfId="1152" xr:uid="{00000000-0005-0000-0000-00007F040000}"/>
    <cellStyle name="SS Dim 2 Title" xfId="1153" xr:uid="{00000000-0005-0000-0000-000080040000}"/>
    <cellStyle name="SS Dim 2 Title 2" xfId="1154" xr:uid="{00000000-0005-0000-0000-000081040000}"/>
    <cellStyle name="SS Dim 2 Title 3" xfId="1155" xr:uid="{00000000-0005-0000-0000-000082040000}"/>
    <cellStyle name="SS Dim 2 Title 4" xfId="1156" xr:uid="{00000000-0005-0000-0000-000083040000}"/>
    <cellStyle name="SS Dim 2 Value" xfId="1157" xr:uid="{00000000-0005-0000-0000-000084040000}"/>
    <cellStyle name="SS Dim 2 Value 2" xfId="1158" xr:uid="{00000000-0005-0000-0000-000085040000}"/>
    <cellStyle name="SS Dim 2 Value 3" xfId="1159" xr:uid="{00000000-0005-0000-0000-000086040000}"/>
    <cellStyle name="SS Dim 2 Value 4" xfId="1160" xr:uid="{00000000-0005-0000-0000-000087040000}"/>
    <cellStyle name="SS Dim 3 Blank" xfId="1161" xr:uid="{00000000-0005-0000-0000-000088040000}"/>
    <cellStyle name="SS Dim 3 Blank 2" xfId="1162" xr:uid="{00000000-0005-0000-0000-000089040000}"/>
    <cellStyle name="SS Dim 3 Blank 3" xfId="1163" xr:uid="{00000000-0005-0000-0000-00008A040000}"/>
    <cellStyle name="SS Dim 3 Blank 4" xfId="1164" xr:uid="{00000000-0005-0000-0000-00008B040000}"/>
    <cellStyle name="SS Dim 3 Title" xfId="1165" xr:uid="{00000000-0005-0000-0000-00008C040000}"/>
    <cellStyle name="SS Dim 3 Title 2" xfId="1166" xr:uid="{00000000-0005-0000-0000-00008D040000}"/>
    <cellStyle name="SS Dim 3 Title 3" xfId="1167" xr:uid="{00000000-0005-0000-0000-00008E040000}"/>
    <cellStyle name="SS Dim 3 Title 4" xfId="1168" xr:uid="{00000000-0005-0000-0000-00008F040000}"/>
    <cellStyle name="SS Dim 3 Value" xfId="1169" xr:uid="{00000000-0005-0000-0000-000090040000}"/>
    <cellStyle name="SS Dim 3 Value 2" xfId="1170" xr:uid="{00000000-0005-0000-0000-000091040000}"/>
    <cellStyle name="SS Dim 3 Value 3" xfId="1171" xr:uid="{00000000-0005-0000-0000-000092040000}"/>
    <cellStyle name="SS Dim 3 Value 4" xfId="1172" xr:uid="{00000000-0005-0000-0000-000093040000}"/>
    <cellStyle name="SS Dim 4 Blank" xfId="1173" xr:uid="{00000000-0005-0000-0000-000094040000}"/>
    <cellStyle name="SS Dim 4 Blank 2" xfId="1174" xr:uid="{00000000-0005-0000-0000-000095040000}"/>
    <cellStyle name="SS Dim 4 Blank 3" xfId="1175" xr:uid="{00000000-0005-0000-0000-000096040000}"/>
    <cellStyle name="SS Dim 4 Blank 4" xfId="1176" xr:uid="{00000000-0005-0000-0000-000097040000}"/>
    <cellStyle name="SS Dim 4 Title" xfId="1177" xr:uid="{00000000-0005-0000-0000-000098040000}"/>
    <cellStyle name="SS Dim 4 Title 2" xfId="1178" xr:uid="{00000000-0005-0000-0000-000099040000}"/>
    <cellStyle name="SS Dim 4 Title 3" xfId="1179" xr:uid="{00000000-0005-0000-0000-00009A040000}"/>
    <cellStyle name="SS Dim 4 Title 4" xfId="1180" xr:uid="{00000000-0005-0000-0000-00009B040000}"/>
    <cellStyle name="SS Dim 4 Value" xfId="1181" xr:uid="{00000000-0005-0000-0000-00009C040000}"/>
    <cellStyle name="SS Dim 4 Value 2" xfId="1182" xr:uid="{00000000-0005-0000-0000-00009D040000}"/>
    <cellStyle name="SS Dim 4 Value 3" xfId="1183" xr:uid="{00000000-0005-0000-0000-00009E040000}"/>
    <cellStyle name="SS Dim 4 Value 4" xfId="1184" xr:uid="{00000000-0005-0000-0000-00009F040000}"/>
    <cellStyle name="SS Dim 5 Blank" xfId="1185" xr:uid="{00000000-0005-0000-0000-0000A0040000}"/>
    <cellStyle name="SS Dim 5 Blank 2" xfId="1186" xr:uid="{00000000-0005-0000-0000-0000A1040000}"/>
    <cellStyle name="SS Dim 5 Blank 3" xfId="1187" xr:uid="{00000000-0005-0000-0000-0000A2040000}"/>
    <cellStyle name="SS Dim 5 Blank 4" xfId="1188" xr:uid="{00000000-0005-0000-0000-0000A3040000}"/>
    <cellStyle name="SS Dim 5 Title" xfId="1189" xr:uid="{00000000-0005-0000-0000-0000A4040000}"/>
    <cellStyle name="SS Dim 5 Title 2" xfId="1190" xr:uid="{00000000-0005-0000-0000-0000A5040000}"/>
    <cellStyle name="SS Dim 5 Title 3" xfId="1191" xr:uid="{00000000-0005-0000-0000-0000A6040000}"/>
    <cellStyle name="SS Dim 5 Title 4" xfId="1192" xr:uid="{00000000-0005-0000-0000-0000A7040000}"/>
    <cellStyle name="SS Dim 5 Value" xfId="1193" xr:uid="{00000000-0005-0000-0000-0000A8040000}"/>
    <cellStyle name="SS Dim 5 Value 2" xfId="1194" xr:uid="{00000000-0005-0000-0000-0000A9040000}"/>
    <cellStyle name="SS Dim 5 Value 3" xfId="1195" xr:uid="{00000000-0005-0000-0000-0000AA040000}"/>
    <cellStyle name="SS Dim 5 Value 4" xfId="1196" xr:uid="{00000000-0005-0000-0000-0000AB040000}"/>
    <cellStyle name="SS Other Measure" xfId="1197" xr:uid="{00000000-0005-0000-0000-0000AC040000}"/>
    <cellStyle name="SS Other Measure 2" xfId="1198" xr:uid="{00000000-0005-0000-0000-0000AD040000}"/>
    <cellStyle name="SS Other Measure 3" xfId="1199" xr:uid="{00000000-0005-0000-0000-0000AE040000}"/>
    <cellStyle name="SS Other Measure 4" xfId="1200" xr:uid="{00000000-0005-0000-0000-0000AF040000}"/>
    <cellStyle name="SS Sum Measure" xfId="1201" xr:uid="{00000000-0005-0000-0000-0000B0040000}"/>
    <cellStyle name="SS Sum Measure 2" xfId="1202" xr:uid="{00000000-0005-0000-0000-0000B1040000}"/>
    <cellStyle name="SS Sum Measure 3" xfId="1203" xr:uid="{00000000-0005-0000-0000-0000B2040000}"/>
    <cellStyle name="SS Sum Measure 4" xfId="1204" xr:uid="{00000000-0005-0000-0000-0000B3040000}"/>
    <cellStyle name="SS Unbound Dim" xfId="1205" xr:uid="{00000000-0005-0000-0000-0000B4040000}"/>
    <cellStyle name="SS Unbound Dim 2" xfId="1206" xr:uid="{00000000-0005-0000-0000-0000B5040000}"/>
    <cellStyle name="SS Unbound Dim 3" xfId="1207" xr:uid="{00000000-0005-0000-0000-0000B6040000}"/>
    <cellStyle name="SS Unbound Dim 4" xfId="1208" xr:uid="{00000000-0005-0000-0000-0000B7040000}"/>
    <cellStyle name="SS WAvg Measure" xfId="1209" xr:uid="{00000000-0005-0000-0000-0000B8040000}"/>
    <cellStyle name="SS WAvg Measure 2" xfId="1210" xr:uid="{00000000-0005-0000-0000-0000B9040000}"/>
    <cellStyle name="SS WAvg Measure 3" xfId="1211" xr:uid="{00000000-0005-0000-0000-0000BA040000}"/>
    <cellStyle name="SS WAvg Measure 4" xfId="1212" xr:uid="{00000000-0005-0000-0000-0000BB040000}"/>
    <cellStyle name="Standard_Data_input_2-0" xfId="1213" xr:uid="{00000000-0005-0000-0000-0000BC040000}"/>
    <cellStyle name="Text Indent A" xfId="1214" xr:uid="{00000000-0005-0000-0000-0000BD040000}"/>
    <cellStyle name="Text Indent B" xfId="1215" xr:uid="{00000000-0005-0000-0000-0000BE040000}"/>
    <cellStyle name="Text Indent B 2" xfId="1216" xr:uid="{00000000-0005-0000-0000-0000BF040000}"/>
    <cellStyle name="Text Indent B 3" xfId="1217" xr:uid="{00000000-0005-0000-0000-0000C0040000}"/>
    <cellStyle name="Text Indent B 4" xfId="1218" xr:uid="{00000000-0005-0000-0000-0000C1040000}"/>
    <cellStyle name="Text Indent C" xfId="1219" xr:uid="{00000000-0005-0000-0000-0000C2040000}"/>
    <cellStyle name="Text Indent C 2" xfId="1220" xr:uid="{00000000-0005-0000-0000-0000C3040000}"/>
    <cellStyle name="Text Indent C 3" xfId="1221" xr:uid="{00000000-0005-0000-0000-0000C4040000}"/>
    <cellStyle name="Text Indent C 4" xfId="1222" xr:uid="{00000000-0005-0000-0000-0000C5040000}"/>
    <cellStyle name="Times 10" xfId="1223" xr:uid="{00000000-0005-0000-0000-0000C6040000}"/>
    <cellStyle name="Times 10 2" xfId="1224" xr:uid="{00000000-0005-0000-0000-0000C7040000}"/>
    <cellStyle name="Times 10 3" xfId="1225" xr:uid="{00000000-0005-0000-0000-0000C8040000}"/>
    <cellStyle name="Times 10 4" xfId="1226" xr:uid="{00000000-0005-0000-0000-0000C9040000}"/>
    <cellStyle name="Times 12" xfId="1227" xr:uid="{00000000-0005-0000-0000-0000CA040000}"/>
    <cellStyle name="Times 12 2" xfId="1228" xr:uid="{00000000-0005-0000-0000-0000CB040000}"/>
    <cellStyle name="Times 12 3" xfId="1229" xr:uid="{00000000-0005-0000-0000-0000CC040000}"/>
    <cellStyle name="Times 12 4" xfId="1230" xr:uid="{00000000-0005-0000-0000-0000CD040000}"/>
    <cellStyle name="Title" xfId="1231" xr:uid="{00000000-0005-0000-0000-0000CE040000}"/>
    <cellStyle name="Title 2" xfId="1232" xr:uid="{00000000-0005-0000-0000-0000CF040000}"/>
    <cellStyle name="Title 3" xfId="1233" xr:uid="{00000000-0005-0000-0000-0000D0040000}"/>
    <cellStyle name="Total" xfId="1234" xr:uid="{00000000-0005-0000-0000-0000D1040000}"/>
    <cellStyle name="Total 2" xfId="1235" xr:uid="{00000000-0005-0000-0000-0000D2040000}"/>
    <cellStyle name="Total 3" xfId="1236" xr:uid="{00000000-0005-0000-0000-0000D3040000}"/>
    <cellStyle name="Total 4" xfId="1237" xr:uid="{00000000-0005-0000-0000-0000D4040000}"/>
    <cellStyle name="Total 5" xfId="1238" xr:uid="{00000000-0005-0000-0000-0000D5040000}"/>
    <cellStyle name="Total 6" xfId="1239" xr:uid="{00000000-0005-0000-0000-0000D6040000}"/>
    <cellStyle name="Tusental (0)_pldt" xfId="1240" xr:uid="{00000000-0005-0000-0000-0000D7040000}"/>
    <cellStyle name="Tusental_pldt" xfId="1241" xr:uid="{00000000-0005-0000-0000-0000D8040000}"/>
    <cellStyle name="URUNKODU" xfId="1242" xr:uid="{00000000-0005-0000-0000-0000D9040000}"/>
    <cellStyle name="Valuta (0)_pldt" xfId="1243" xr:uid="{00000000-0005-0000-0000-0000DA040000}"/>
    <cellStyle name="Valuta_pldt" xfId="1244" xr:uid="{00000000-0005-0000-0000-0000DB040000}"/>
    <cellStyle name="Virgül [0]_1991" xfId="1245" xr:uid="{00000000-0005-0000-0000-0000DC040000}"/>
    <cellStyle name="Virgül_1991" xfId="1246" xr:uid="{00000000-0005-0000-0000-0000DD040000}"/>
    <cellStyle name="Währung [0]_Data_input_2-0" xfId="1247" xr:uid="{00000000-0005-0000-0000-0000DE040000}"/>
    <cellStyle name="Währung_Data_input_2-0" xfId="1248" xr:uid="{00000000-0005-0000-0000-0000DF040000}"/>
    <cellStyle name="Warning Text" xfId="1249" xr:uid="{00000000-0005-0000-0000-0000E0040000}"/>
    <cellStyle name="Warning Text 2" xfId="1250" xr:uid="{00000000-0005-0000-0000-0000E1040000}"/>
    <cellStyle name="Warning Text 3" xfId="1251" xr:uid="{00000000-0005-0000-0000-0000E2040000}"/>
    <cellStyle name="Yen" xfId="1252" xr:uid="{00000000-0005-0000-0000-0000E3040000}"/>
    <cellStyle name="Yen 2" xfId="1253" xr:uid="{00000000-0005-0000-0000-0000E4040000}"/>
    <cellStyle name="Yen 3" xfId="1254" xr:uid="{00000000-0005-0000-0000-0000E5040000}"/>
    <cellStyle name="Yen 4" xfId="1255" xr:uid="{00000000-0005-0000-0000-0000E6040000}"/>
    <cellStyle name="Акцент1 10" xfId="1256" xr:uid="{00000000-0005-0000-0000-0000E7040000}"/>
    <cellStyle name="Акцент1 2" xfId="1257" xr:uid="{00000000-0005-0000-0000-0000E8040000}"/>
    <cellStyle name="Акцент1 2 2" xfId="1258" xr:uid="{00000000-0005-0000-0000-0000E9040000}"/>
    <cellStyle name="Акцент1 2 2 2" xfId="1259" xr:uid="{00000000-0005-0000-0000-0000EA040000}"/>
    <cellStyle name="Акцент1 2 2 3" xfId="1260" xr:uid="{00000000-0005-0000-0000-0000EB040000}"/>
    <cellStyle name="Акцент1 2 3" xfId="1261" xr:uid="{00000000-0005-0000-0000-0000EC040000}"/>
    <cellStyle name="Акцент1 2 3 2" xfId="1262" xr:uid="{00000000-0005-0000-0000-0000ED040000}"/>
    <cellStyle name="Акцент1 2 3 3" xfId="1263" xr:uid="{00000000-0005-0000-0000-0000EE040000}"/>
    <cellStyle name="Акцент1 2 4" xfId="1264" xr:uid="{00000000-0005-0000-0000-0000EF040000}"/>
    <cellStyle name="Акцент1 2 5" xfId="1265" xr:uid="{00000000-0005-0000-0000-0000F0040000}"/>
    <cellStyle name="Акцент1 2 6" xfId="1266" xr:uid="{00000000-0005-0000-0000-0000F1040000}"/>
    <cellStyle name="Акцент1 2 7" xfId="1267" xr:uid="{00000000-0005-0000-0000-0000F2040000}"/>
    <cellStyle name="Акцент1 2 8" xfId="1268" xr:uid="{00000000-0005-0000-0000-0000F3040000}"/>
    <cellStyle name="Акцент1 3" xfId="1269" xr:uid="{00000000-0005-0000-0000-0000F4040000}"/>
    <cellStyle name="Акцент1 3 2" xfId="1270" xr:uid="{00000000-0005-0000-0000-0000F5040000}"/>
    <cellStyle name="Акцент1 3 3" xfId="1271" xr:uid="{00000000-0005-0000-0000-0000F6040000}"/>
    <cellStyle name="Акцент1 3 4" xfId="1272" xr:uid="{00000000-0005-0000-0000-0000F7040000}"/>
    <cellStyle name="Акцент1 4" xfId="1273" xr:uid="{00000000-0005-0000-0000-0000F8040000}"/>
    <cellStyle name="Акцент1 4 2" xfId="1274" xr:uid="{00000000-0005-0000-0000-0000F9040000}"/>
    <cellStyle name="Акцент1 4 3" xfId="1275" xr:uid="{00000000-0005-0000-0000-0000FA040000}"/>
    <cellStyle name="Акцент1 5" xfId="1276" xr:uid="{00000000-0005-0000-0000-0000FB040000}"/>
    <cellStyle name="Акцент1 5 2" xfId="1277" xr:uid="{00000000-0005-0000-0000-0000FC040000}"/>
    <cellStyle name="Акцент1 5 3" xfId="1278" xr:uid="{00000000-0005-0000-0000-0000FD040000}"/>
    <cellStyle name="Акцент1 6" xfId="1279" xr:uid="{00000000-0005-0000-0000-0000FE040000}"/>
    <cellStyle name="Акцент1 7" xfId="1280" xr:uid="{00000000-0005-0000-0000-0000FF040000}"/>
    <cellStyle name="Акцент1 8" xfId="1281" xr:uid="{00000000-0005-0000-0000-000000050000}"/>
    <cellStyle name="Акцент1 9" xfId="1282" xr:uid="{00000000-0005-0000-0000-000001050000}"/>
    <cellStyle name="Акцент2 10" xfId="1283" xr:uid="{00000000-0005-0000-0000-000002050000}"/>
    <cellStyle name="Акцент2 2" xfId="1284" xr:uid="{00000000-0005-0000-0000-000003050000}"/>
    <cellStyle name="Акцент2 2 2" xfId="1285" xr:uid="{00000000-0005-0000-0000-000004050000}"/>
    <cellStyle name="Акцент2 2 2 2" xfId="1286" xr:uid="{00000000-0005-0000-0000-000005050000}"/>
    <cellStyle name="Акцент2 2 2 3" xfId="1287" xr:uid="{00000000-0005-0000-0000-000006050000}"/>
    <cellStyle name="Акцент2 2 3" xfId="1288" xr:uid="{00000000-0005-0000-0000-000007050000}"/>
    <cellStyle name="Акцент2 2 3 2" xfId="1289" xr:uid="{00000000-0005-0000-0000-000008050000}"/>
    <cellStyle name="Акцент2 2 3 3" xfId="1290" xr:uid="{00000000-0005-0000-0000-000009050000}"/>
    <cellStyle name="Акцент2 2 4" xfId="1291" xr:uid="{00000000-0005-0000-0000-00000A050000}"/>
    <cellStyle name="Акцент2 2 5" xfId="1292" xr:uid="{00000000-0005-0000-0000-00000B050000}"/>
    <cellStyle name="Акцент2 2 6" xfId="1293" xr:uid="{00000000-0005-0000-0000-00000C050000}"/>
    <cellStyle name="Акцент2 2 7" xfId="1294" xr:uid="{00000000-0005-0000-0000-00000D050000}"/>
    <cellStyle name="Акцент2 2 8" xfId="1295" xr:uid="{00000000-0005-0000-0000-00000E050000}"/>
    <cellStyle name="Акцент2 3" xfId="1296" xr:uid="{00000000-0005-0000-0000-00000F050000}"/>
    <cellStyle name="Акцент2 3 2" xfId="1297" xr:uid="{00000000-0005-0000-0000-000010050000}"/>
    <cellStyle name="Акцент2 3 3" xfId="1298" xr:uid="{00000000-0005-0000-0000-000011050000}"/>
    <cellStyle name="Акцент2 3 4" xfId="1299" xr:uid="{00000000-0005-0000-0000-000012050000}"/>
    <cellStyle name="Акцент2 4" xfId="1300" xr:uid="{00000000-0005-0000-0000-000013050000}"/>
    <cellStyle name="Акцент2 4 2" xfId="1301" xr:uid="{00000000-0005-0000-0000-000014050000}"/>
    <cellStyle name="Акцент2 4 3" xfId="1302" xr:uid="{00000000-0005-0000-0000-000015050000}"/>
    <cellStyle name="Акцент2 5" xfId="1303" xr:uid="{00000000-0005-0000-0000-000016050000}"/>
    <cellStyle name="Акцент2 5 2" xfId="1304" xr:uid="{00000000-0005-0000-0000-000017050000}"/>
    <cellStyle name="Акцент2 5 3" xfId="1305" xr:uid="{00000000-0005-0000-0000-000018050000}"/>
    <cellStyle name="Акцент2 6" xfId="1306" xr:uid="{00000000-0005-0000-0000-000019050000}"/>
    <cellStyle name="Акцент2 7" xfId="1307" xr:uid="{00000000-0005-0000-0000-00001A050000}"/>
    <cellStyle name="Акцент2 8" xfId="1308" xr:uid="{00000000-0005-0000-0000-00001B050000}"/>
    <cellStyle name="Акцент2 9" xfId="1309" xr:uid="{00000000-0005-0000-0000-00001C050000}"/>
    <cellStyle name="Акцент3 10" xfId="1310" xr:uid="{00000000-0005-0000-0000-00001D050000}"/>
    <cellStyle name="Акцент3 2" xfId="1311" xr:uid="{00000000-0005-0000-0000-00001E050000}"/>
    <cellStyle name="Акцент3 2 2" xfId="1312" xr:uid="{00000000-0005-0000-0000-00001F050000}"/>
    <cellStyle name="Акцент3 2 2 2" xfId="1313" xr:uid="{00000000-0005-0000-0000-000020050000}"/>
    <cellStyle name="Акцент3 2 2 3" xfId="1314" xr:uid="{00000000-0005-0000-0000-000021050000}"/>
    <cellStyle name="Акцент3 2 3" xfId="1315" xr:uid="{00000000-0005-0000-0000-000022050000}"/>
    <cellStyle name="Акцент3 2 3 2" xfId="1316" xr:uid="{00000000-0005-0000-0000-000023050000}"/>
    <cellStyle name="Акцент3 2 3 3" xfId="1317" xr:uid="{00000000-0005-0000-0000-000024050000}"/>
    <cellStyle name="Акцент3 2 4" xfId="1318" xr:uid="{00000000-0005-0000-0000-000025050000}"/>
    <cellStyle name="Акцент3 2 5" xfId="1319" xr:uid="{00000000-0005-0000-0000-000026050000}"/>
    <cellStyle name="Акцент3 2 6" xfId="1320" xr:uid="{00000000-0005-0000-0000-000027050000}"/>
    <cellStyle name="Акцент3 2 7" xfId="1321" xr:uid="{00000000-0005-0000-0000-000028050000}"/>
    <cellStyle name="Акцент3 2 8" xfId="1322" xr:uid="{00000000-0005-0000-0000-000029050000}"/>
    <cellStyle name="Акцент3 3" xfId="1323" xr:uid="{00000000-0005-0000-0000-00002A050000}"/>
    <cellStyle name="Акцент3 3 2" xfId="1324" xr:uid="{00000000-0005-0000-0000-00002B050000}"/>
    <cellStyle name="Акцент3 3 3" xfId="1325" xr:uid="{00000000-0005-0000-0000-00002C050000}"/>
    <cellStyle name="Акцент3 3 4" xfId="1326" xr:uid="{00000000-0005-0000-0000-00002D050000}"/>
    <cellStyle name="Акцент3 4" xfId="1327" xr:uid="{00000000-0005-0000-0000-00002E050000}"/>
    <cellStyle name="Акцент3 4 2" xfId="1328" xr:uid="{00000000-0005-0000-0000-00002F050000}"/>
    <cellStyle name="Акцент3 4 3" xfId="1329" xr:uid="{00000000-0005-0000-0000-000030050000}"/>
    <cellStyle name="Акцент3 5" xfId="1330" xr:uid="{00000000-0005-0000-0000-000031050000}"/>
    <cellStyle name="Акцент3 5 2" xfId="1331" xr:uid="{00000000-0005-0000-0000-000032050000}"/>
    <cellStyle name="Акцент3 5 3" xfId="1332" xr:uid="{00000000-0005-0000-0000-000033050000}"/>
    <cellStyle name="Акцент3 6" xfId="1333" xr:uid="{00000000-0005-0000-0000-000034050000}"/>
    <cellStyle name="Акцент3 7" xfId="1334" xr:uid="{00000000-0005-0000-0000-000035050000}"/>
    <cellStyle name="Акцент3 8" xfId="1335" xr:uid="{00000000-0005-0000-0000-000036050000}"/>
    <cellStyle name="Акцент3 9" xfId="1336" xr:uid="{00000000-0005-0000-0000-000037050000}"/>
    <cellStyle name="Акцент4 10" xfId="1337" xr:uid="{00000000-0005-0000-0000-000038050000}"/>
    <cellStyle name="Акцент4 2" xfId="1338" xr:uid="{00000000-0005-0000-0000-000039050000}"/>
    <cellStyle name="Акцент4 2 2" xfId="1339" xr:uid="{00000000-0005-0000-0000-00003A050000}"/>
    <cellStyle name="Акцент4 2 2 2" xfId="1340" xr:uid="{00000000-0005-0000-0000-00003B050000}"/>
    <cellStyle name="Акцент4 2 2 3" xfId="1341" xr:uid="{00000000-0005-0000-0000-00003C050000}"/>
    <cellStyle name="Акцент4 2 3" xfId="1342" xr:uid="{00000000-0005-0000-0000-00003D050000}"/>
    <cellStyle name="Акцент4 2 3 2" xfId="1343" xr:uid="{00000000-0005-0000-0000-00003E050000}"/>
    <cellStyle name="Акцент4 2 3 3" xfId="1344" xr:uid="{00000000-0005-0000-0000-00003F050000}"/>
    <cellStyle name="Акцент4 2 4" xfId="1345" xr:uid="{00000000-0005-0000-0000-000040050000}"/>
    <cellStyle name="Акцент4 2 5" xfId="1346" xr:uid="{00000000-0005-0000-0000-000041050000}"/>
    <cellStyle name="Акцент4 2 6" xfId="1347" xr:uid="{00000000-0005-0000-0000-000042050000}"/>
    <cellStyle name="Акцент4 2 7" xfId="1348" xr:uid="{00000000-0005-0000-0000-000043050000}"/>
    <cellStyle name="Акцент4 2 8" xfId="1349" xr:uid="{00000000-0005-0000-0000-000044050000}"/>
    <cellStyle name="Акцент4 3" xfId="1350" xr:uid="{00000000-0005-0000-0000-000045050000}"/>
    <cellStyle name="Акцент4 3 2" xfId="1351" xr:uid="{00000000-0005-0000-0000-000046050000}"/>
    <cellStyle name="Акцент4 3 3" xfId="1352" xr:uid="{00000000-0005-0000-0000-000047050000}"/>
    <cellStyle name="Акцент4 3 4" xfId="1353" xr:uid="{00000000-0005-0000-0000-000048050000}"/>
    <cellStyle name="Акцент4 4" xfId="1354" xr:uid="{00000000-0005-0000-0000-000049050000}"/>
    <cellStyle name="Акцент4 4 2" xfId="1355" xr:uid="{00000000-0005-0000-0000-00004A050000}"/>
    <cellStyle name="Акцент4 4 3" xfId="1356" xr:uid="{00000000-0005-0000-0000-00004B050000}"/>
    <cellStyle name="Акцент4 5" xfId="1357" xr:uid="{00000000-0005-0000-0000-00004C050000}"/>
    <cellStyle name="Акцент4 5 2" xfId="1358" xr:uid="{00000000-0005-0000-0000-00004D050000}"/>
    <cellStyle name="Акцент4 5 3" xfId="1359" xr:uid="{00000000-0005-0000-0000-00004E050000}"/>
    <cellStyle name="Акцент4 6" xfId="1360" xr:uid="{00000000-0005-0000-0000-00004F050000}"/>
    <cellStyle name="Акцент4 7" xfId="1361" xr:uid="{00000000-0005-0000-0000-000050050000}"/>
    <cellStyle name="Акцент4 8" xfId="1362" xr:uid="{00000000-0005-0000-0000-000051050000}"/>
    <cellStyle name="Акцент4 9" xfId="1363" xr:uid="{00000000-0005-0000-0000-000052050000}"/>
    <cellStyle name="Акцент5 10" xfId="1364" xr:uid="{00000000-0005-0000-0000-000053050000}"/>
    <cellStyle name="Акцент5 2" xfId="1365" xr:uid="{00000000-0005-0000-0000-000054050000}"/>
    <cellStyle name="Акцент5 2 2" xfId="1366" xr:uid="{00000000-0005-0000-0000-000055050000}"/>
    <cellStyle name="Акцент5 2 2 2" xfId="1367" xr:uid="{00000000-0005-0000-0000-000056050000}"/>
    <cellStyle name="Акцент5 2 2 3" xfId="1368" xr:uid="{00000000-0005-0000-0000-000057050000}"/>
    <cellStyle name="Акцент5 2 3" xfId="1369" xr:uid="{00000000-0005-0000-0000-000058050000}"/>
    <cellStyle name="Акцент5 2 3 2" xfId="1370" xr:uid="{00000000-0005-0000-0000-000059050000}"/>
    <cellStyle name="Акцент5 2 3 3" xfId="1371" xr:uid="{00000000-0005-0000-0000-00005A050000}"/>
    <cellStyle name="Акцент5 2 4" xfId="1372" xr:uid="{00000000-0005-0000-0000-00005B050000}"/>
    <cellStyle name="Акцент5 2 5" xfId="1373" xr:uid="{00000000-0005-0000-0000-00005C050000}"/>
    <cellStyle name="Акцент5 2 6" xfId="1374" xr:uid="{00000000-0005-0000-0000-00005D050000}"/>
    <cellStyle name="Акцент5 2 7" xfId="1375" xr:uid="{00000000-0005-0000-0000-00005E050000}"/>
    <cellStyle name="Акцент5 2 8" xfId="1376" xr:uid="{00000000-0005-0000-0000-00005F050000}"/>
    <cellStyle name="Акцент5 3" xfId="1377" xr:uid="{00000000-0005-0000-0000-000060050000}"/>
    <cellStyle name="Акцент5 3 2" xfId="1378" xr:uid="{00000000-0005-0000-0000-000061050000}"/>
    <cellStyle name="Акцент5 3 3" xfId="1379" xr:uid="{00000000-0005-0000-0000-000062050000}"/>
    <cellStyle name="Акцент5 3 4" xfId="1380" xr:uid="{00000000-0005-0000-0000-000063050000}"/>
    <cellStyle name="Акцент5 4" xfId="1381" xr:uid="{00000000-0005-0000-0000-000064050000}"/>
    <cellStyle name="Акцент5 4 2" xfId="1382" xr:uid="{00000000-0005-0000-0000-000065050000}"/>
    <cellStyle name="Акцент5 4 3" xfId="1383" xr:uid="{00000000-0005-0000-0000-000066050000}"/>
    <cellStyle name="Акцент5 5" xfId="1384" xr:uid="{00000000-0005-0000-0000-000067050000}"/>
    <cellStyle name="Акцент5 5 2" xfId="1385" xr:uid="{00000000-0005-0000-0000-000068050000}"/>
    <cellStyle name="Акцент5 5 3" xfId="1386" xr:uid="{00000000-0005-0000-0000-000069050000}"/>
    <cellStyle name="Акцент5 6" xfId="1387" xr:uid="{00000000-0005-0000-0000-00006A050000}"/>
    <cellStyle name="Акцент5 7" xfId="1388" xr:uid="{00000000-0005-0000-0000-00006B050000}"/>
    <cellStyle name="Акцент5 8" xfId="1389" xr:uid="{00000000-0005-0000-0000-00006C050000}"/>
    <cellStyle name="Акцент5 9" xfId="1390" xr:uid="{00000000-0005-0000-0000-00006D050000}"/>
    <cellStyle name="Акцент6 10" xfId="1391" xr:uid="{00000000-0005-0000-0000-00006E050000}"/>
    <cellStyle name="Акцент6 11" xfId="1392" xr:uid="{00000000-0005-0000-0000-00006F050000}"/>
    <cellStyle name="Акцент6 2" xfId="1393" xr:uid="{00000000-0005-0000-0000-000070050000}"/>
    <cellStyle name="Акцент6 2 2" xfId="1394" xr:uid="{00000000-0005-0000-0000-000071050000}"/>
    <cellStyle name="Акцент6 2 2 2" xfId="1395" xr:uid="{00000000-0005-0000-0000-000072050000}"/>
    <cellStyle name="Акцент6 2 2 3" xfId="1396" xr:uid="{00000000-0005-0000-0000-000073050000}"/>
    <cellStyle name="Акцент6 2 3" xfId="1397" xr:uid="{00000000-0005-0000-0000-000074050000}"/>
    <cellStyle name="Акцент6 2 3 2" xfId="1398" xr:uid="{00000000-0005-0000-0000-000075050000}"/>
    <cellStyle name="Акцент6 2 3 3" xfId="1399" xr:uid="{00000000-0005-0000-0000-000076050000}"/>
    <cellStyle name="Акцент6 2 4" xfId="1400" xr:uid="{00000000-0005-0000-0000-000077050000}"/>
    <cellStyle name="Акцент6 2 5" xfId="1401" xr:uid="{00000000-0005-0000-0000-000078050000}"/>
    <cellStyle name="Акцент6 2 6" xfId="1402" xr:uid="{00000000-0005-0000-0000-000079050000}"/>
    <cellStyle name="Акцент6 2 7" xfId="1403" xr:uid="{00000000-0005-0000-0000-00007A050000}"/>
    <cellStyle name="Акцент6 2 8" xfId="1404" xr:uid="{00000000-0005-0000-0000-00007B050000}"/>
    <cellStyle name="Акцент6 3" xfId="1405" xr:uid="{00000000-0005-0000-0000-00007C050000}"/>
    <cellStyle name="Акцент6 3 2" xfId="1406" xr:uid="{00000000-0005-0000-0000-00007D050000}"/>
    <cellStyle name="Акцент6 3 3" xfId="1407" xr:uid="{00000000-0005-0000-0000-00007E050000}"/>
    <cellStyle name="Акцент6 3 4" xfId="1408" xr:uid="{00000000-0005-0000-0000-00007F050000}"/>
    <cellStyle name="Акцент6 4" xfId="1409" xr:uid="{00000000-0005-0000-0000-000080050000}"/>
    <cellStyle name="Акцент6 4 2" xfId="1410" xr:uid="{00000000-0005-0000-0000-000081050000}"/>
    <cellStyle name="Акцент6 4 3" xfId="1411" xr:uid="{00000000-0005-0000-0000-000082050000}"/>
    <cellStyle name="Акцент6 5" xfId="1412" xr:uid="{00000000-0005-0000-0000-000083050000}"/>
    <cellStyle name="Акцент6 5 2" xfId="1413" xr:uid="{00000000-0005-0000-0000-000084050000}"/>
    <cellStyle name="Акцент6 5 3" xfId="1414" xr:uid="{00000000-0005-0000-0000-000085050000}"/>
    <cellStyle name="Акцент6 6" xfId="1415" xr:uid="{00000000-0005-0000-0000-000086050000}"/>
    <cellStyle name="Акцент6 7" xfId="1416" xr:uid="{00000000-0005-0000-0000-000087050000}"/>
    <cellStyle name="Акцент6 8" xfId="1417" xr:uid="{00000000-0005-0000-0000-000088050000}"/>
    <cellStyle name="Акцент6 9" xfId="1418" xr:uid="{00000000-0005-0000-0000-000089050000}"/>
    <cellStyle name="Ввод  10" xfId="1419" xr:uid="{00000000-0005-0000-0000-00008A050000}"/>
    <cellStyle name="Ввод  2" xfId="1420" xr:uid="{00000000-0005-0000-0000-00008B050000}"/>
    <cellStyle name="Ввод  2 2" xfId="1421" xr:uid="{00000000-0005-0000-0000-00008C050000}"/>
    <cellStyle name="Ввод  2 2 2" xfId="1422" xr:uid="{00000000-0005-0000-0000-00008D050000}"/>
    <cellStyle name="Ввод  2 2 3" xfId="1423" xr:uid="{00000000-0005-0000-0000-00008E050000}"/>
    <cellStyle name="Ввод  2 3" xfId="1424" xr:uid="{00000000-0005-0000-0000-00008F050000}"/>
    <cellStyle name="Ввод  2 3 2" xfId="1425" xr:uid="{00000000-0005-0000-0000-000090050000}"/>
    <cellStyle name="Ввод  2 3 3" xfId="1426" xr:uid="{00000000-0005-0000-0000-000091050000}"/>
    <cellStyle name="Ввод  2 4" xfId="1427" xr:uid="{00000000-0005-0000-0000-000092050000}"/>
    <cellStyle name="Ввод  2 5" xfId="1428" xr:uid="{00000000-0005-0000-0000-000093050000}"/>
    <cellStyle name="Ввод  2 6" xfId="1429" xr:uid="{00000000-0005-0000-0000-000094050000}"/>
    <cellStyle name="Ввод  2 7" xfId="1430" xr:uid="{00000000-0005-0000-0000-000095050000}"/>
    <cellStyle name="Ввод  2 8" xfId="1431" xr:uid="{00000000-0005-0000-0000-000096050000}"/>
    <cellStyle name="Ввод  3" xfId="1432" xr:uid="{00000000-0005-0000-0000-000097050000}"/>
    <cellStyle name="Ввод  3 2" xfId="1433" xr:uid="{00000000-0005-0000-0000-000098050000}"/>
    <cellStyle name="Ввод  3 3" xfId="1434" xr:uid="{00000000-0005-0000-0000-000099050000}"/>
    <cellStyle name="Ввод  3 4" xfId="1435" xr:uid="{00000000-0005-0000-0000-00009A050000}"/>
    <cellStyle name="Ввод  4" xfId="1436" xr:uid="{00000000-0005-0000-0000-00009B050000}"/>
    <cellStyle name="Ввод  4 2" xfId="1437" xr:uid="{00000000-0005-0000-0000-00009C050000}"/>
    <cellStyle name="Ввод  4 3" xfId="1438" xr:uid="{00000000-0005-0000-0000-00009D050000}"/>
    <cellStyle name="Ввод  5" xfId="1439" xr:uid="{00000000-0005-0000-0000-00009E050000}"/>
    <cellStyle name="Ввод  5 2" xfId="1440" xr:uid="{00000000-0005-0000-0000-00009F050000}"/>
    <cellStyle name="Ввод  5 3" xfId="1441" xr:uid="{00000000-0005-0000-0000-0000A0050000}"/>
    <cellStyle name="Ввод  6" xfId="1442" xr:uid="{00000000-0005-0000-0000-0000A1050000}"/>
    <cellStyle name="Ввод  7" xfId="1443" xr:uid="{00000000-0005-0000-0000-0000A2050000}"/>
    <cellStyle name="Ввод  8" xfId="1444" xr:uid="{00000000-0005-0000-0000-0000A3050000}"/>
    <cellStyle name="Ввод  9" xfId="1445" xr:uid="{00000000-0005-0000-0000-0000A4050000}"/>
    <cellStyle name="Верт. заголовок" xfId="1446" xr:uid="{00000000-0005-0000-0000-0000A5050000}"/>
    <cellStyle name="Вес_продукта" xfId="1447" xr:uid="{00000000-0005-0000-0000-0000A6050000}"/>
    <cellStyle name="Вывод 10" xfId="1448" xr:uid="{00000000-0005-0000-0000-0000A7050000}"/>
    <cellStyle name="Вывод 2" xfId="1449" xr:uid="{00000000-0005-0000-0000-0000A8050000}"/>
    <cellStyle name="Вывод 2 2" xfId="1450" xr:uid="{00000000-0005-0000-0000-0000A9050000}"/>
    <cellStyle name="Вывод 2 2 2" xfId="1451" xr:uid="{00000000-0005-0000-0000-0000AA050000}"/>
    <cellStyle name="Вывод 2 2 3" xfId="1452" xr:uid="{00000000-0005-0000-0000-0000AB050000}"/>
    <cellStyle name="Вывод 2 3" xfId="1453" xr:uid="{00000000-0005-0000-0000-0000AC050000}"/>
    <cellStyle name="Вывод 2 3 2" xfId="1454" xr:uid="{00000000-0005-0000-0000-0000AD050000}"/>
    <cellStyle name="Вывод 2 3 3" xfId="1455" xr:uid="{00000000-0005-0000-0000-0000AE050000}"/>
    <cellStyle name="Вывод 2 4" xfId="1456" xr:uid="{00000000-0005-0000-0000-0000AF050000}"/>
    <cellStyle name="Вывод 2 5" xfId="1457" xr:uid="{00000000-0005-0000-0000-0000B0050000}"/>
    <cellStyle name="Вывод 2 6" xfId="1458" xr:uid="{00000000-0005-0000-0000-0000B1050000}"/>
    <cellStyle name="Вывод 2 7" xfId="1459" xr:uid="{00000000-0005-0000-0000-0000B2050000}"/>
    <cellStyle name="Вывод 2 8" xfId="1460" xr:uid="{00000000-0005-0000-0000-0000B3050000}"/>
    <cellStyle name="Вывод 3" xfId="1461" xr:uid="{00000000-0005-0000-0000-0000B4050000}"/>
    <cellStyle name="Вывод 3 2" xfId="1462" xr:uid="{00000000-0005-0000-0000-0000B5050000}"/>
    <cellStyle name="Вывод 3 3" xfId="1463" xr:uid="{00000000-0005-0000-0000-0000B6050000}"/>
    <cellStyle name="Вывод 3 4" xfId="1464" xr:uid="{00000000-0005-0000-0000-0000B7050000}"/>
    <cellStyle name="Вывод 4" xfId="1465" xr:uid="{00000000-0005-0000-0000-0000B8050000}"/>
    <cellStyle name="Вывод 4 2" xfId="1466" xr:uid="{00000000-0005-0000-0000-0000B9050000}"/>
    <cellStyle name="Вывод 4 3" xfId="1467" xr:uid="{00000000-0005-0000-0000-0000BA050000}"/>
    <cellStyle name="Вывод 5" xfId="1468" xr:uid="{00000000-0005-0000-0000-0000BB050000}"/>
    <cellStyle name="Вывод 5 2" xfId="1469" xr:uid="{00000000-0005-0000-0000-0000BC050000}"/>
    <cellStyle name="Вывод 5 3" xfId="1470" xr:uid="{00000000-0005-0000-0000-0000BD050000}"/>
    <cellStyle name="Вывод 6" xfId="1471" xr:uid="{00000000-0005-0000-0000-0000BE050000}"/>
    <cellStyle name="Вывод 7" xfId="1472" xr:uid="{00000000-0005-0000-0000-0000BF050000}"/>
    <cellStyle name="Вывод 8" xfId="1473" xr:uid="{00000000-0005-0000-0000-0000C0050000}"/>
    <cellStyle name="Вывод 9" xfId="1474" xr:uid="{00000000-0005-0000-0000-0000C1050000}"/>
    <cellStyle name="Вычисление 10" xfId="1475" xr:uid="{00000000-0005-0000-0000-0000C2050000}"/>
    <cellStyle name="Вычисление 11" xfId="1476" xr:uid="{00000000-0005-0000-0000-0000C3050000}"/>
    <cellStyle name="Вычисление 2" xfId="1477" xr:uid="{00000000-0005-0000-0000-0000C4050000}"/>
    <cellStyle name="Вычисление 2 2" xfId="1478" xr:uid="{00000000-0005-0000-0000-0000C5050000}"/>
    <cellStyle name="Вычисление 2 2 2" xfId="1479" xr:uid="{00000000-0005-0000-0000-0000C6050000}"/>
    <cellStyle name="Вычисление 2 2 3" xfId="1480" xr:uid="{00000000-0005-0000-0000-0000C7050000}"/>
    <cellStyle name="Вычисление 2 3" xfId="1481" xr:uid="{00000000-0005-0000-0000-0000C8050000}"/>
    <cellStyle name="Вычисление 2 3 2" xfId="1482" xr:uid="{00000000-0005-0000-0000-0000C9050000}"/>
    <cellStyle name="Вычисление 2 3 3" xfId="1483" xr:uid="{00000000-0005-0000-0000-0000CA050000}"/>
    <cellStyle name="Вычисление 2 4" xfId="1484" xr:uid="{00000000-0005-0000-0000-0000CB050000}"/>
    <cellStyle name="Вычисление 2 5" xfId="1485" xr:uid="{00000000-0005-0000-0000-0000CC050000}"/>
    <cellStyle name="Вычисление 2 6" xfId="1486" xr:uid="{00000000-0005-0000-0000-0000CD050000}"/>
    <cellStyle name="Вычисление 2 7" xfId="1487" xr:uid="{00000000-0005-0000-0000-0000CE050000}"/>
    <cellStyle name="Вычисление 2 8" xfId="1488" xr:uid="{00000000-0005-0000-0000-0000CF050000}"/>
    <cellStyle name="Вычисление 3" xfId="1489" xr:uid="{00000000-0005-0000-0000-0000D0050000}"/>
    <cellStyle name="Вычисление 3 2" xfId="1490" xr:uid="{00000000-0005-0000-0000-0000D1050000}"/>
    <cellStyle name="Вычисление 3 3" xfId="1491" xr:uid="{00000000-0005-0000-0000-0000D2050000}"/>
    <cellStyle name="Вычисление 3 4" xfId="1492" xr:uid="{00000000-0005-0000-0000-0000D3050000}"/>
    <cellStyle name="Вычисление 4" xfId="1493" xr:uid="{00000000-0005-0000-0000-0000D4050000}"/>
    <cellStyle name="Вычисление 4 2" xfId="1494" xr:uid="{00000000-0005-0000-0000-0000D5050000}"/>
    <cellStyle name="Вычисление 4 3" xfId="1495" xr:uid="{00000000-0005-0000-0000-0000D6050000}"/>
    <cellStyle name="Вычисление 5" xfId="1496" xr:uid="{00000000-0005-0000-0000-0000D7050000}"/>
    <cellStyle name="Вычисление 5 2" xfId="1497" xr:uid="{00000000-0005-0000-0000-0000D8050000}"/>
    <cellStyle name="Вычисление 5 3" xfId="1498" xr:uid="{00000000-0005-0000-0000-0000D9050000}"/>
    <cellStyle name="Вычисление 6" xfId="1499" xr:uid="{00000000-0005-0000-0000-0000DA050000}"/>
    <cellStyle name="Вычисление 7" xfId="1500" xr:uid="{00000000-0005-0000-0000-0000DB050000}"/>
    <cellStyle name="Вычисление 8" xfId="1501" xr:uid="{00000000-0005-0000-0000-0000DC050000}"/>
    <cellStyle name="Вычисление 9" xfId="1502" xr:uid="{00000000-0005-0000-0000-0000DD050000}"/>
    <cellStyle name="Гиперссылка" xfId="1503" builtinId="8"/>
    <cellStyle name="Гиперссылка 2" xfId="1504" xr:uid="{00000000-0005-0000-0000-0000DF050000}"/>
    <cellStyle name="Группа" xfId="1505" xr:uid="{00000000-0005-0000-0000-0000E0050000}"/>
    <cellStyle name="Группа 0" xfId="1506" xr:uid="{00000000-0005-0000-0000-0000E1050000}"/>
    <cellStyle name="Группа 0 2" xfId="1507" xr:uid="{00000000-0005-0000-0000-0000E2050000}"/>
    <cellStyle name="Группа 0 3" xfId="1508" xr:uid="{00000000-0005-0000-0000-0000E3050000}"/>
    <cellStyle name="Группа 0 4" xfId="1509" xr:uid="{00000000-0005-0000-0000-0000E4050000}"/>
    <cellStyle name="Группа 1" xfId="1510" xr:uid="{00000000-0005-0000-0000-0000E5050000}"/>
    <cellStyle name="Группа 1 2" xfId="1511" xr:uid="{00000000-0005-0000-0000-0000E6050000}"/>
    <cellStyle name="Группа 1 3" xfId="1512" xr:uid="{00000000-0005-0000-0000-0000E7050000}"/>
    <cellStyle name="Группа 1 4" xfId="1513" xr:uid="{00000000-0005-0000-0000-0000E8050000}"/>
    <cellStyle name="Группа 2" xfId="1514" xr:uid="{00000000-0005-0000-0000-0000E9050000}"/>
    <cellStyle name="Группа 2 2" xfId="1515" xr:uid="{00000000-0005-0000-0000-0000EA050000}"/>
    <cellStyle name="Группа 2 3" xfId="1516" xr:uid="{00000000-0005-0000-0000-0000EB050000}"/>
    <cellStyle name="Группа 2 4" xfId="1517" xr:uid="{00000000-0005-0000-0000-0000EC050000}"/>
    <cellStyle name="Группа 3" xfId="1518" xr:uid="{00000000-0005-0000-0000-0000ED050000}"/>
    <cellStyle name="Группа 3 2" xfId="1519" xr:uid="{00000000-0005-0000-0000-0000EE050000}"/>
    <cellStyle name="Группа 3 3" xfId="1520" xr:uid="{00000000-0005-0000-0000-0000EF050000}"/>
    <cellStyle name="Группа 3 4" xfId="1521" xr:uid="{00000000-0005-0000-0000-0000F0050000}"/>
    <cellStyle name="Группа 4" xfId="1522" xr:uid="{00000000-0005-0000-0000-0000F1050000}"/>
    <cellStyle name="Группа 4 2" xfId="1523" xr:uid="{00000000-0005-0000-0000-0000F2050000}"/>
    <cellStyle name="Группа 4 3" xfId="1524" xr:uid="{00000000-0005-0000-0000-0000F3050000}"/>
    <cellStyle name="Группа 4 4" xfId="1525" xr:uid="{00000000-0005-0000-0000-0000F4050000}"/>
    <cellStyle name="Группа 5" xfId="1526" xr:uid="{00000000-0005-0000-0000-0000F5050000}"/>
    <cellStyle name="Группа 6" xfId="1527" xr:uid="{00000000-0005-0000-0000-0000F6050000}"/>
    <cellStyle name="Группа 7" xfId="1528" xr:uid="{00000000-0005-0000-0000-0000F7050000}"/>
    <cellStyle name="Группа_Budgeted highlights - 2003_0312" xfId="1529" xr:uid="{00000000-0005-0000-0000-0000F8050000}"/>
    <cellStyle name="Дата" xfId="1530" xr:uid="{00000000-0005-0000-0000-0000F9050000}"/>
    <cellStyle name="Дата 2" xfId="1531" xr:uid="{00000000-0005-0000-0000-0000FA050000}"/>
    <cellStyle name="Дата 3" xfId="1532" xr:uid="{00000000-0005-0000-0000-0000FB050000}"/>
    <cellStyle name="Дата 4" xfId="1533" xr:uid="{00000000-0005-0000-0000-0000FC050000}"/>
    <cellStyle name="Дата 5" xfId="1534" xr:uid="{00000000-0005-0000-0000-0000FD050000}"/>
    <cellStyle name="Дата 6" xfId="1535" xr:uid="{00000000-0005-0000-0000-0000FE050000}"/>
    <cellStyle name="Денежный 2" xfId="1536" xr:uid="{00000000-0005-0000-0000-0000FF050000}"/>
    <cellStyle name="Денежный 2 2" xfId="1537" xr:uid="{00000000-0005-0000-0000-000000060000}"/>
    <cellStyle name="Денежный 2 3" xfId="1538" xr:uid="{00000000-0005-0000-0000-000001060000}"/>
    <cellStyle name="Денежный 2 4" xfId="1539" xr:uid="{00000000-0005-0000-0000-000002060000}"/>
    <cellStyle name="Денежный 3" xfId="1540" xr:uid="{00000000-0005-0000-0000-000003060000}"/>
    <cellStyle name="Денежный 4" xfId="1541" xr:uid="{00000000-0005-0000-0000-000004060000}"/>
    <cellStyle name="Заголовок" xfId="1542" xr:uid="{00000000-0005-0000-0000-000005060000}"/>
    <cellStyle name="Заголовок 1 1" xfId="1543" xr:uid="{00000000-0005-0000-0000-000006060000}"/>
    <cellStyle name="Заголовок 1 10" xfId="1544" xr:uid="{00000000-0005-0000-0000-000007060000}"/>
    <cellStyle name="Заголовок 1 2" xfId="1545" xr:uid="{00000000-0005-0000-0000-000008060000}"/>
    <cellStyle name="Заголовок 1 2 2" xfId="1546" xr:uid="{00000000-0005-0000-0000-000009060000}"/>
    <cellStyle name="Заголовок 1 2 2 2" xfId="1547" xr:uid="{00000000-0005-0000-0000-00000A060000}"/>
    <cellStyle name="Заголовок 1 2 2 3" xfId="1548" xr:uid="{00000000-0005-0000-0000-00000B060000}"/>
    <cellStyle name="Заголовок 1 2 3" xfId="1549" xr:uid="{00000000-0005-0000-0000-00000C060000}"/>
    <cellStyle name="Заголовок 1 2 3 2" xfId="1550" xr:uid="{00000000-0005-0000-0000-00000D060000}"/>
    <cellStyle name="Заголовок 1 2 3 3" xfId="1551" xr:uid="{00000000-0005-0000-0000-00000E060000}"/>
    <cellStyle name="Заголовок 1 2 4" xfId="1552" xr:uid="{00000000-0005-0000-0000-00000F060000}"/>
    <cellStyle name="Заголовок 1 2 5" xfId="1553" xr:uid="{00000000-0005-0000-0000-000010060000}"/>
    <cellStyle name="Заголовок 1 2 6" xfId="1554" xr:uid="{00000000-0005-0000-0000-000011060000}"/>
    <cellStyle name="Заголовок 1 2 7" xfId="1555" xr:uid="{00000000-0005-0000-0000-000012060000}"/>
    <cellStyle name="Заголовок 1 2 8" xfId="1556" xr:uid="{00000000-0005-0000-0000-000013060000}"/>
    <cellStyle name="Заголовок 1 3" xfId="1557" xr:uid="{00000000-0005-0000-0000-000014060000}"/>
    <cellStyle name="Заголовок 1 3 2" xfId="1558" xr:uid="{00000000-0005-0000-0000-000015060000}"/>
    <cellStyle name="Заголовок 1 3 3" xfId="1559" xr:uid="{00000000-0005-0000-0000-000016060000}"/>
    <cellStyle name="Заголовок 1 3 4" xfId="1560" xr:uid="{00000000-0005-0000-0000-000017060000}"/>
    <cellStyle name="Заголовок 1 4" xfId="1561" xr:uid="{00000000-0005-0000-0000-000018060000}"/>
    <cellStyle name="Заголовок 1 4 2" xfId="1562" xr:uid="{00000000-0005-0000-0000-000019060000}"/>
    <cellStyle name="Заголовок 1 4 3" xfId="1563" xr:uid="{00000000-0005-0000-0000-00001A060000}"/>
    <cellStyle name="Заголовок 1 5" xfId="1564" xr:uid="{00000000-0005-0000-0000-00001B060000}"/>
    <cellStyle name="Заголовок 1 5 2" xfId="1565" xr:uid="{00000000-0005-0000-0000-00001C060000}"/>
    <cellStyle name="Заголовок 1 5 3" xfId="1566" xr:uid="{00000000-0005-0000-0000-00001D060000}"/>
    <cellStyle name="Заголовок 1 6" xfId="1567" xr:uid="{00000000-0005-0000-0000-00001E060000}"/>
    <cellStyle name="Заголовок 1 7" xfId="1568" xr:uid="{00000000-0005-0000-0000-00001F060000}"/>
    <cellStyle name="Заголовок 1 8" xfId="1569" xr:uid="{00000000-0005-0000-0000-000020060000}"/>
    <cellStyle name="Заголовок 1 9" xfId="1570" xr:uid="{00000000-0005-0000-0000-000021060000}"/>
    <cellStyle name="Заголовок 2 2" xfId="1571" xr:uid="{00000000-0005-0000-0000-000022060000}"/>
    <cellStyle name="Заголовок 2 2 2" xfId="1572" xr:uid="{00000000-0005-0000-0000-000023060000}"/>
    <cellStyle name="Заголовок 2 2 3" xfId="1573" xr:uid="{00000000-0005-0000-0000-000024060000}"/>
    <cellStyle name="Заголовок 2 2 4" xfId="1574" xr:uid="{00000000-0005-0000-0000-000025060000}"/>
    <cellStyle name="Заголовок 2 3" xfId="1575" xr:uid="{00000000-0005-0000-0000-000026060000}"/>
    <cellStyle name="Заголовок 2 3 2" xfId="1576" xr:uid="{00000000-0005-0000-0000-000027060000}"/>
    <cellStyle name="Заголовок 2 3 3" xfId="1577" xr:uid="{00000000-0005-0000-0000-000028060000}"/>
    <cellStyle name="Заголовок 2 3 4" xfId="1578" xr:uid="{00000000-0005-0000-0000-000029060000}"/>
    <cellStyle name="Заголовок 2 4" xfId="1579" xr:uid="{00000000-0005-0000-0000-00002A060000}"/>
    <cellStyle name="Заголовок 2 4 2" xfId="1580" xr:uid="{00000000-0005-0000-0000-00002B060000}"/>
    <cellStyle name="Заголовок 2 4 3" xfId="1581" xr:uid="{00000000-0005-0000-0000-00002C060000}"/>
    <cellStyle name="Заголовок 2 5" xfId="1582" xr:uid="{00000000-0005-0000-0000-00002D060000}"/>
    <cellStyle name="Заголовок 2 5 2" xfId="1583" xr:uid="{00000000-0005-0000-0000-00002E060000}"/>
    <cellStyle name="Заголовок 2 5 3" xfId="1584" xr:uid="{00000000-0005-0000-0000-00002F060000}"/>
    <cellStyle name="Заголовок 2 6" xfId="1585" xr:uid="{00000000-0005-0000-0000-000030060000}"/>
    <cellStyle name="Заголовок 2 7" xfId="1586" xr:uid="{00000000-0005-0000-0000-000031060000}"/>
    <cellStyle name="Заголовок 2 8" xfId="1587" xr:uid="{00000000-0005-0000-0000-000032060000}"/>
    <cellStyle name="Заголовок 2 9" xfId="1588" xr:uid="{00000000-0005-0000-0000-000033060000}"/>
    <cellStyle name="Заголовок 3 2" xfId="1589" xr:uid="{00000000-0005-0000-0000-000034060000}"/>
    <cellStyle name="Заголовок 3 2 2" xfId="1590" xr:uid="{00000000-0005-0000-0000-000035060000}"/>
    <cellStyle name="Заголовок 3 2 3" xfId="1591" xr:uid="{00000000-0005-0000-0000-000036060000}"/>
    <cellStyle name="Заголовок 3 2 4" xfId="1592" xr:uid="{00000000-0005-0000-0000-000037060000}"/>
    <cellStyle name="Заголовок 3 3" xfId="1593" xr:uid="{00000000-0005-0000-0000-000038060000}"/>
    <cellStyle name="Заголовок 3 3 2" xfId="1594" xr:uid="{00000000-0005-0000-0000-000039060000}"/>
    <cellStyle name="Заголовок 3 3 3" xfId="1595" xr:uid="{00000000-0005-0000-0000-00003A060000}"/>
    <cellStyle name="Заголовок 3 3 4" xfId="1596" xr:uid="{00000000-0005-0000-0000-00003B060000}"/>
    <cellStyle name="Заголовок 3 4" xfId="1597" xr:uid="{00000000-0005-0000-0000-00003C060000}"/>
    <cellStyle name="Заголовок 3 4 2" xfId="1598" xr:uid="{00000000-0005-0000-0000-00003D060000}"/>
    <cellStyle name="Заголовок 3 4 3" xfId="1599" xr:uid="{00000000-0005-0000-0000-00003E060000}"/>
    <cellStyle name="Заголовок 3 5" xfId="1600" xr:uid="{00000000-0005-0000-0000-00003F060000}"/>
    <cellStyle name="Заголовок 3 5 2" xfId="1601" xr:uid="{00000000-0005-0000-0000-000040060000}"/>
    <cellStyle name="Заголовок 3 5 3" xfId="1602" xr:uid="{00000000-0005-0000-0000-000041060000}"/>
    <cellStyle name="Заголовок 3 6" xfId="1603" xr:uid="{00000000-0005-0000-0000-000042060000}"/>
    <cellStyle name="Заголовок 3 7" xfId="1604" xr:uid="{00000000-0005-0000-0000-000043060000}"/>
    <cellStyle name="Заголовок 3 8" xfId="1605" xr:uid="{00000000-0005-0000-0000-000044060000}"/>
    <cellStyle name="Заголовок 3 9" xfId="1606" xr:uid="{00000000-0005-0000-0000-000045060000}"/>
    <cellStyle name="Заголовок 4 2" xfId="1607" xr:uid="{00000000-0005-0000-0000-000046060000}"/>
    <cellStyle name="Заголовок 4 2 2" xfId="1608" xr:uid="{00000000-0005-0000-0000-000047060000}"/>
    <cellStyle name="Заголовок 4 2 3" xfId="1609" xr:uid="{00000000-0005-0000-0000-000048060000}"/>
    <cellStyle name="Заголовок 4 2 4" xfId="1610" xr:uid="{00000000-0005-0000-0000-000049060000}"/>
    <cellStyle name="Заголовок 4 3" xfId="1611" xr:uid="{00000000-0005-0000-0000-00004A060000}"/>
    <cellStyle name="Заголовок 4 3 2" xfId="1612" xr:uid="{00000000-0005-0000-0000-00004B060000}"/>
    <cellStyle name="Заголовок 4 3 3" xfId="1613" xr:uid="{00000000-0005-0000-0000-00004C060000}"/>
    <cellStyle name="Заголовок 4 3 4" xfId="1614" xr:uid="{00000000-0005-0000-0000-00004D060000}"/>
    <cellStyle name="Заголовок 4 4" xfId="1615" xr:uid="{00000000-0005-0000-0000-00004E060000}"/>
    <cellStyle name="Заголовок 4 4 2" xfId="1616" xr:uid="{00000000-0005-0000-0000-00004F060000}"/>
    <cellStyle name="Заголовок 4 4 3" xfId="1617" xr:uid="{00000000-0005-0000-0000-000050060000}"/>
    <cellStyle name="Заголовок 4 5" xfId="1618" xr:uid="{00000000-0005-0000-0000-000051060000}"/>
    <cellStyle name="Заголовок 4 5 2" xfId="1619" xr:uid="{00000000-0005-0000-0000-000052060000}"/>
    <cellStyle name="Заголовок 4 5 3" xfId="1620" xr:uid="{00000000-0005-0000-0000-000053060000}"/>
    <cellStyle name="Заголовок 4 6" xfId="1621" xr:uid="{00000000-0005-0000-0000-000054060000}"/>
    <cellStyle name="Заголовок 4 7" xfId="1622" xr:uid="{00000000-0005-0000-0000-000055060000}"/>
    <cellStyle name="Заголовок 4 8" xfId="1623" xr:uid="{00000000-0005-0000-0000-000056060000}"/>
    <cellStyle name="Итог 2" xfId="1624" xr:uid="{00000000-0005-0000-0000-000057060000}"/>
    <cellStyle name="Итог 2 2" xfId="1625" xr:uid="{00000000-0005-0000-0000-000058060000}"/>
    <cellStyle name="Итог 2 3" xfId="1626" xr:uid="{00000000-0005-0000-0000-000059060000}"/>
    <cellStyle name="Итог 2 4" xfId="1627" xr:uid="{00000000-0005-0000-0000-00005A060000}"/>
    <cellStyle name="Итог 3" xfId="1628" xr:uid="{00000000-0005-0000-0000-00005B060000}"/>
    <cellStyle name="Итог 3 2" xfId="1629" xr:uid="{00000000-0005-0000-0000-00005C060000}"/>
    <cellStyle name="Итог 3 3" xfId="1630" xr:uid="{00000000-0005-0000-0000-00005D060000}"/>
    <cellStyle name="Итог 3 4" xfId="1631" xr:uid="{00000000-0005-0000-0000-00005E060000}"/>
    <cellStyle name="Итог 4" xfId="1632" xr:uid="{00000000-0005-0000-0000-00005F060000}"/>
    <cellStyle name="Итог 4 2" xfId="1633" xr:uid="{00000000-0005-0000-0000-000060060000}"/>
    <cellStyle name="Итог 4 3" xfId="1634" xr:uid="{00000000-0005-0000-0000-000061060000}"/>
    <cellStyle name="Итог 5" xfId="1635" xr:uid="{00000000-0005-0000-0000-000062060000}"/>
    <cellStyle name="Итог 5 2" xfId="1636" xr:uid="{00000000-0005-0000-0000-000063060000}"/>
    <cellStyle name="Итог 5 3" xfId="1637" xr:uid="{00000000-0005-0000-0000-000064060000}"/>
    <cellStyle name="Итог 6" xfId="1638" xr:uid="{00000000-0005-0000-0000-000065060000}"/>
    <cellStyle name="Итог 7" xfId="1639" xr:uid="{00000000-0005-0000-0000-000066060000}"/>
    <cellStyle name="Итог 8" xfId="1640" xr:uid="{00000000-0005-0000-0000-000067060000}"/>
    <cellStyle name="Итог 9" xfId="1641" xr:uid="{00000000-0005-0000-0000-000068060000}"/>
    <cellStyle name="Итого" xfId="1642" xr:uid="{00000000-0005-0000-0000-000069060000}"/>
    <cellStyle name="Итого 2" xfId="1643" xr:uid="{00000000-0005-0000-0000-00006A060000}"/>
    <cellStyle name="Итого 3" xfId="1644" xr:uid="{00000000-0005-0000-0000-00006B060000}"/>
    <cellStyle name="Итого 4" xfId="1645" xr:uid="{00000000-0005-0000-0000-00006C060000}"/>
    <cellStyle name="Контрольная ячейка 10" xfId="1646" xr:uid="{00000000-0005-0000-0000-00006D060000}"/>
    <cellStyle name="Контрольная ячейка 2" xfId="1647" xr:uid="{00000000-0005-0000-0000-00006E060000}"/>
    <cellStyle name="Контрольная ячейка 2 2" xfId="1648" xr:uid="{00000000-0005-0000-0000-00006F060000}"/>
    <cellStyle name="Контрольная ячейка 2 2 2" xfId="1649" xr:uid="{00000000-0005-0000-0000-000070060000}"/>
    <cellStyle name="Контрольная ячейка 2 2 3" xfId="1650" xr:uid="{00000000-0005-0000-0000-000071060000}"/>
    <cellStyle name="Контрольная ячейка 2 3" xfId="1651" xr:uid="{00000000-0005-0000-0000-000072060000}"/>
    <cellStyle name="Контрольная ячейка 2 3 2" xfId="1652" xr:uid="{00000000-0005-0000-0000-000073060000}"/>
    <cellStyle name="Контрольная ячейка 2 3 3" xfId="1653" xr:uid="{00000000-0005-0000-0000-000074060000}"/>
    <cellStyle name="Контрольная ячейка 2 4" xfId="1654" xr:uid="{00000000-0005-0000-0000-000075060000}"/>
    <cellStyle name="Контрольная ячейка 2 5" xfId="1655" xr:uid="{00000000-0005-0000-0000-000076060000}"/>
    <cellStyle name="Контрольная ячейка 2 6" xfId="1656" xr:uid="{00000000-0005-0000-0000-000077060000}"/>
    <cellStyle name="Контрольная ячейка 2 7" xfId="1657" xr:uid="{00000000-0005-0000-0000-000078060000}"/>
    <cellStyle name="Контрольная ячейка 2 8" xfId="1658" xr:uid="{00000000-0005-0000-0000-000079060000}"/>
    <cellStyle name="Контрольная ячейка 3" xfId="1659" xr:uid="{00000000-0005-0000-0000-00007A060000}"/>
    <cellStyle name="Контрольная ячейка 3 2" xfId="1660" xr:uid="{00000000-0005-0000-0000-00007B060000}"/>
    <cellStyle name="Контрольная ячейка 3 3" xfId="1661" xr:uid="{00000000-0005-0000-0000-00007C060000}"/>
    <cellStyle name="Контрольная ячейка 3 4" xfId="1662" xr:uid="{00000000-0005-0000-0000-00007D060000}"/>
    <cellStyle name="Контрольная ячейка 4" xfId="1663" xr:uid="{00000000-0005-0000-0000-00007E060000}"/>
    <cellStyle name="Контрольная ячейка 4 2" xfId="1664" xr:uid="{00000000-0005-0000-0000-00007F060000}"/>
    <cellStyle name="Контрольная ячейка 4 3" xfId="1665" xr:uid="{00000000-0005-0000-0000-000080060000}"/>
    <cellStyle name="Контрольная ячейка 5" xfId="1666" xr:uid="{00000000-0005-0000-0000-000081060000}"/>
    <cellStyle name="Контрольная ячейка 5 2" xfId="1667" xr:uid="{00000000-0005-0000-0000-000082060000}"/>
    <cellStyle name="Контрольная ячейка 5 3" xfId="1668" xr:uid="{00000000-0005-0000-0000-000083060000}"/>
    <cellStyle name="Контрольная ячейка 6" xfId="1669" xr:uid="{00000000-0005-0000-0000-000084060000}"/>
    <cellStyle name="Контрольная ячейка 7" xfId="1670" xr:uid="{00000000-0005-0000-0000-000085060000}"/>
    <cellStyle name="Контрольная ячейка 8" xfId="1671" xr:uid="{00000000-0005-0000-0000-000086060000}"/>
    <cellStyle name="Контрольная ячейка 9" xfId="1672" xr:uid="{00000000-0005-0000-0000-000087060000}"/>
    <cellStyle name="Название" xfId="1673" builtinId="15" customBuiltin="1"/>
    <cellStyle name="Название 2" xfId="1674" xr:uid="{00000000-0005-0000-0000-000089060000}"/>
    <cellStyle name="Название 2 2" xfId="1675" xr:uid="{00000000-0005-0000-0000-00008A060000}"/>
    <cellStyle name="Название 2 3" xfId="1676" xr:uid="{00000000-0005-0000-0000-00008B060000}"/>
    <cellStyle name="Название 2 4" xfId="1677" xr:uid="{00000000-0005-0000-0000-00008C060000}"/>
    <cellStyle name="Название 3" xfId="1678" xr:uid="{00000000-0005-0000-0000-00008D060000}"/>
    <cellStyle name="Название 3 2" xfId="1679" xr:uid="{00000000-0005-0000-0000-00008E060000}"/>
    <cellStyle name="Название 3 3" xfId="1680" xr:uid="{00000000-0005-0000-0000-00008F060000}"/>
    <cellStyle name="Название 3 4" xfId="1681" xr:uid="{00000000-0005-0000-0000-000090060000}"/>
    <cellStyle name="Название 4" xfId="1682" xr:uid="{00000000-0005-0000-0000-000091060000}"/>
    <cellStyle name="Название 4 2" xfId="1683" xr:uid="{00000000-0005-0000-0000-000092060000}"/>
    <cellStyle name="Название 4 3" xfId="1684" xr:uid="{00000000-0005-0000-0000-000093060000}"/>
    <cellStyle name="Название 5" xfId="1685" xr:uid="{00000000-0005-0000-0000-000094060000}"/>
    <cellStyle name="Название 5 2" xfId="1686" xr:uid="{00000000-0005-0000-0000-000095060000}"/>
    <cellStyle name="Название 5 3" xfId="1687" xr:uid="{00000000-0005-0000-0000-000096060000}"/>
    <cellStyle name="Название 6" xfId="1688" xr:uid="{00000000-0005-0000-0000-000097060000}"/>
    <cellStyle name="Невидимый" xfId="1689" xr:uid="{00000000-0005-0000-0000-000098060000}"/>
    <cellStyle name="Нейтральный 10" xfId="1690" xr:uid="{00000000-0005-0000-0000-000099060000}"/>
    <cellStyle name="Нейтральный 2" xfId="1691" xr:uid="{00000000-0005-0000-0000-00009A060000}"/>
    <cellStyle name="Нейтральный 2 2" xfId="1692" xr:uid="{00000000-0005-0000-0000-00009B060000}"/>
    <cellStyle name="Нейтральный 2 2 2" xfId="1693" xr:uid="{00000000-0005-0000-0000-00009C060000}"/>
    <cellStyle name="Нейтральный 2 2 3" xfId="1694" xr:uid="{00000000-0005-0000-0000-00009D060000}"/>
    <cellStyle name="Нейтральный 2 3" xfId="1695" xr:uid="{00000000-0005-0000-0000-00009E060000}"/>
    <cellStyle name="Нейтральный 2 3 2" xfId="1696" xr:uid="{00000000-0005-0000-0000-00009F060000}"/>
    <cellStyle name="Нейтральный 2 3 3" xfId="1697" xr:uid="{00000000-0005-0000-0000-0000A0060000}"/>
    <cellStyle name="Нейтральный 2 4" xfId="1698" xr:uid="{00000000-0005-0000-0000-0000A1060000}"/>
    <cellStyle name="Нейтральный 2 5" xfId="1699" xr:uid="{00000000-0005-0000-0000-0000A2060000}"/>
    <cellStyle name="Нейтральный 2 6" xfId="1700" xr:uid="{00000000-0005-0000-0000-0000A3060000}"/>
    <cellStyle name="Нейтральный 2 7" xfId="1701" xr:uid="{00000000-0005-0000-0000-0000A4060000}"/>
    <cellStyle name="Нейтральный 2 8" xfId="1702" xr:uid="{00000000-0005-0000-0000-0000A5060000}"/>
    <cellStyle name="Нейтральный 3" xfId="1703" xr:uid="{00000000-0005-0000-0000-0000A6060000}"/>
    <cellStyle name="Нейтральный 3 2" xfId="1704" xr:uid="{00000000-0005-0000-0000-0000A7060000}"/>
    <cellStyle name="Нейтральный 3 3" xfId="1705" xr:uid="{00000000-0005-0000-0000-0000A8060000}"/>
    <cellStyle name="Нейтральный 3 4" xfId="1706" xr:uid="{00000000-0005-0000-0000-0000A9060000}"/>
    <cellStyle name="Нейтральный 4" xfId="1707" xr:uid="{00000000-0005-0000-0000-0000AA060000}"/>
    <cellStyle name="Нейтральный 4 2" xfId="1708" xr:uid="{00000000-0005-0000-0000-0000AB060000}"/>
    <cellStyle name="Нейтральный 4 3" xfId="1709" xr:uid="{00000000-0005-0000-0000-0000AC060000}"/>
    <cellStyle name="Нейтральный 5" xfId="1710" xr:uid="{00000000-0005-0000-0000-0000AD060000}"/>
    <cellStyle name="Нейтральный 5 2" xfId="1711" xr:uid="{00000000-0005-0000-0000-0000AE060000}"/>
    <cellStyle name="Нейтральный 5 3" xfId="1712" xr:uid="{00000000-0005-0000-0000-0000AF060000}"/>
    <cellStyle name="Нейтральный 6" xfId="1713" xr:uid="{00000000-0005-0000-0000-0000B0060000}"/>
    <cellStyle name="Нейтральный 7" xfId="1714" xr:uid="{00000000-0005-0000-0000-0000B1060000}"/>
    <cellStyle name="Нейтральный 8" xfId="1715" xr:uid="{00000000-0005-0000-0000-0000B2060000}"/>
    <cellStyle name="Нейтральный 9" xfId="1716" xr:uid="{00000000-0005-0000-0000-0000B3060000}"/>
    <cellStyle name="Низ1" xfId="1717" xr:uid="{00000000-0005-0000-0000-0000B4060000}"/>
    <cellStyle name="Низ1 2" xfId="1718" xr:uid="{00000000-0005-0000-0000-0000B5060000}"/>
    <cellStyle name="Низ1 3" xfId="1719" xr:uid="{00000000-0005-0000-0000-0000B6060000}"/>
    <cellStyle name="Низ1 4" xfId="1720" xr:uid="{00000000-0005-0000-0000-0000B7060000}"/>
    <cellStyle name="Низ2" xfId="1721" xr:uid="{00000000-0005-0000-0000-0000B8060000}"/>
    <cellStyle name="Обычный" xfId="0" builtinId="0"/>
    <cellStyle name="Обычный 10" xfId="1722" xr:uid="{00000000-0005-0000-0000-0000BA060000}"/>
    <cellStyle name="Обычный 10 2" xfId="1723" xr:uid="{00000000-0005-0000-0000-0000BB060000}"/>
    <cellStyle name="Обычный 10 3" xfId="1724" xr:uid="{00000000-0005-0000-0000-0000BC060000}"/>
    <cellStyle name="Обычный 11" xfId="1725" xr:uid="{00000000-0005-0000-0000-0000BD060000}"/>
    <cellStyle name="Обычный 11 2" xfId="1726" xr:uid="{00000000-0005-0000-0000-0000BE060000}"/>
    <cellStyle name="Обычный 11 2 2" xfId="1727" xr:uid="{00000000-0005-0000-0000-0000BF060000}"/>
    <cellStyle name="Обычный 11 2 3" xfId="1728" xr:uid="{00000000-0005-0000-0000-0000C0060000}"/>
    <cellStyle name="Обычный 11 3" xfId="1729" xr:uid="{00000000-0005-0000-0000-0000C1060000}"/>
    <cellStyle name="Обычный 11 4" xfId="1730" xr:uid="{00000000-0005-0000-0000-0000C2060000}"/>
    <cellStyle name="Обычный 11 5" xfId="1731" xr:uid="{00000000-0005-0000-0000-0000C3060000}"/>
    <cellStyle name="Обычный 12" xfId="1732" xr:uid="{00000000-0005-0000-0000-0000C4060000}"/>
    <cellStyle name="Обычный 12 2" xfId="1733" xr:uid="{00000000-0005-0000-0000-0000C5060000}"/>
    <cellStyle name="Обычный 12 3" xfId="1734" xr:uid="{00000000-0005-0000-0000-0000C6060000}"/>
    <cellStyle name="Обычный 12 4" xfId="1735" xr:uid="{00000000-0005-0000-0000-0000C7060000}"/>
    <cellStyle name="Обычный 13" xfId="1736" xr:uid="{00000000-0005-0000-0000-0000C8060000}"/>
    <cellStyle name="Обычный 14" xfId="1737" xr:uid="{00000000-0005-0000-0000-0000C9060000}"/>
    <cellStyle name="Обычный 15" xfId="1738" xr:uid="{00000000-0005-0000-0000-0000CA060000}"/>
    <cellStyle name="Обычный 16" xfId="1739" xr:uid="{00000000-0005-0000-0000-0000CB060000}"/>
    <cellStyle name="Обычный 17" xfId="1740" xr:uid="{00000000-0005-0000-0000-0000CC060000}"/>
    <cellStyle name="Обычный 18" xfId="1741" xr:uid="{00000000-0005-0000-0000-0000CD060000}"/>
    <cellStyle name="Обычный 19" xfId="1742" xr:uid="{00000000-0005-0000-0000-0000CE060000}"/>
    <cellStyle name="Обычный 19 2" xfId="1743" xr:uid="{00000000-0005-0000-0000-0000CF060000}"/>
    <cellStyle name="Обычный 2" xfId="1744" xr:uid="{00000000-0005-0000-0000-0000D0060000}"/>
    <cellStyle name="Обычный 2 10" xfId="1745" xr:uid="{00000000-0005-0000-0000-0000D1060000}"/>
    <cellStyle name="Обычный 2 11" xfId="1746" xr:uid="{00000000-0005-0000-0000-0000D2060000}"/>
    <cellStyle name="Обычный 2 12" xfId="1747" xr:uid="{00000000-0005-0000-0000-0000D3060000}"/>
    <cellStyle name="Обычный 2 2" xfId="1748" xr:uid="{00000000-0005-0000-0000-0000D4060000}"/>
    <cellStyle name="Обычный 2 2 2" xfId="1749" xr:uid="{00000000-0005-0000-0000-0000D5060000}"/>
    <cellStyle name="Обычный 2 2 2 2" xfId="1750" xr:uid="{00000000-0005-0000-0000-0000D6060000}"/>
    <cellStyle name="Обычный 2 2 2 3" xfId="1751" xr:uid="{00000000-0005-0000-0000-0000D7060000}"/>
    <cellStyle name="Обычный 2 2 3" xfId="1752" xr:uid="{00000000-0005-0000-0000-0000D8060000}"/>
    <cellStyle name="Обычный 2 2 4" xfId="1753" xr:uid="{00000000-0005-0000-0000-0000D9060000}"/>
    <cellStyle name="Обычный 2 2 5" xfId="1754" xr:uid="{00000000-0005-0000-0000-0000DA060000}"/>
    <cellStyle name="Обычный 2 2 6" xfId="1755" xr:uid="{00000000-0005-0000-0000-0000DB060000}"/>
    <cellStyle name="Обычный 2 3" xfId="1756" xr:uid="{00000000-0005-0000-0000-0000DC060000}"/>
    <cellStyle name="Обычный 2 3 2" xfId="1757" xr:uid="{00000000-0005-0000-0000-0000DD060000}"/>
    <cellStyle name="Обычный 2 3 3" xfId="1758" xr:uid="{00000000-0005-0000-0000-0000DE060000}"/>
    <cellStyle name="Обычный 2 4" xfId="1759" xr:uid="{00000000-0005-0000-0000-0000DF060000}"/>
    <cellStyle name="Обычный 2 4 2" xfId="1760" xr:uid="{00000000-0005-0000-0000-0000E0060000}"/>
    <cellStyle name="Обычный 2 4 3" xfId="1761" xr:uid="{00000000-0005-0000-0000-0000E1060000}"/>
    <cellStyle name="Обычный 2 4 5" xfId="1762" xr:uid="{00000000-0005-0000-0000-0000E2060000}"/>
    <cellStyle name="Обычный 2 5" xfId="1763" xr:uid="{00000000-0005-0000-0000-0000E3060000}"/>
    <cellStyle name="Обычный 2 5 2" xfId="1764" xr:uid="{00000000-0005-0000-0000-0000E4060000}"/>
    <cellStyle name="Обычный 2 5 2 2" xfId="1765" xr:uid="{00000000-0005-0000-0000-0000E5060000}"/>
    <cellStyle name="Обычный 2 5 2 3" xfId="1766" xr:uid="{00000000-0005-0000-0000-0000E6060000}"/>
    <cellStyle name="Обычный 2 5 3" xfId="1767" xr:uid="{00000000-0005-0000-0000-0000E7060000}"/>
    <cellStyle name="Обычный 2 5 4" xfId="1768" xr:uid="{00000000-0005-0000-0000-0000E8060000}"/>
    <cellStyle name="Обычный 2 5 5" xfId="1769" xr:uid="{00000000-0005-0000-0000-0000E9060000}"/>
    <cellStyle name="Обычный 2 6" xfId="1770" xr:uid="{00000000-0005-0000-0000-0000EA060000}"/>
    <cellStyle name="Обычный 2 6 2" xfId="1771" xr:uid="{00000000-0005-0000-0000-0000EB060000}"/>
    <cellStyle name="Обычный 2 6 3" xfId="1772" xr:uid="{00000000-0005-0000-0000-0000EC060000}"/>
    <cellStyle name="Обычный 2 7" xfId="1773" xr:uid="{00000000-0005-0000-0000-0000ED060000}"/>
    <cellStyle name="Обычный 2 7 2" xfId="1774" xr:uid="{00000000-0005-0000-0000-0000EE060000}"/>
    <cellStyle name="Обычный 2 7 3" xfId="1775" xr:uid="{00000000-0005-0000-0000-0000EF060000}"/>
    <cellStyle name="Обычный 2 8" xfId="1776" xr:uid="{00000000-0005-0000-0000-0000F0060000}"/>
    <cellStyle name="Обычный 2 8 2" xfId="1777" xr:uid="{00000000-0005-0000-0000-0000F1060000}"/>
    <cellStyle name="Обычный 2 8 3" xfId="1778" xr:uid="{00000000-0005-0000-0000-0000F2060000}"/>
    <cellStyle name="Обычный 2 9" xfId="1779" xr:uid="{00000000-0005-0000-0000-0000F3060000}"/>
    <cellStyle name="Обычный 2 9 2" xfId="1780" xr:uid="{00000000-0005-0000-0000-0000F4060000}"/>
    <cellStyle name="Обычный 2 9 3" xfId="1781" xr:uid="{00000000-0005-0000-0000-0000F5060000}"/>
    <cellStyle name="Обычный 20" xfId="1782" xr:uid="{00000000-0005-0000-0000-0000F6060000}"/>
    <cellStyle name="Обычный 20 2" xfId="1783" xr:uid="{00000000-0005-0000-0000-0000F7060000}"/>
    <cellStyle name="Обычный 21" xfId="1784" xr:uid="{00000000-0005-0000-0000-0000F8060000}"/>
    <cellStyle name="Обычный 22" xfId="1785" xr:uid="{00000000-0005-0000-0000-0000F9060000}"/>
    <cellStyle name="Обычный 23" xfId="1786" xr:uid="{00000000-0005-0000-0000-0000FA060000}"/>
    <cellStyle name="Обычный 24" xfId="1787" xr:uid="{00000000-0005-0000-0000-0000FB060000}"/>
    <cellStyle name="Обычный 27" xfId="1788" xr:uid="{00000000-0005-0000-0000-0000FC060000}"/>
    <cellStyle name="Обычный 3" xfId="1789" xr:uid="{00000000-0005-0000-0000-0000FD060000}"/>
    <cellStyle name="Обычный 3 10" xfId="1790" xr:uid="{00000000-0005-0000-0000-0000FE060000}"/>
    <cellStyle name="Обычный 3 11" xfId="1791" xr:uid="{00000000-0005-0000-0000-0000FF060000}"/>
    <cellStyle name="Обычный 3 12" xfId="1792" xr:uid="{00000000-0005-0000-0000-000000070000}"/>
    <cellStyle name="Обычный 3 13" xfId="1793" xr:uid="{00000000-0005-0000-0000-000001070000}"/>
    <cellStyle name="Обычный 3 14" xfId="1794" xr:uid="{00000000-0005-0000-0000-000002070000}"/>
    <cellStyle name="Обычный 3 15" xfId="1795" xr:uid="{00000000-0005-0000-0000-000003070000}"/>
    <cellStyle name="Обычный 3 2" xfId="1796" xr:uid="{00000000-0005-0000-0000-000004070000}"/>
    <cellStyle name="Обычный 3 2 2" xfId="1797" xr:uid="{00000000-0005-0000-0000-000005070000}"/>
    <cellStyle name="Обычный 3 2 2 2" xfId="1798" xr:uid="{00000000-0005-0000-0000-000006070000}"/>
    <cellStyle name="Обычный 3 2 2 3" xfId="1799" xr:uid="{00000000-0005-0000-0000-000007070000}"/>
    <cellStyle name="Обычный 3 2 3" xfId="1800" xr:uid="{00000000-0005-0000-0000-000008070000}"/>
    <cellStyle name="Обычный 3 2 4" xfId="1801" xr:uid="{00000000-0005-0000-0000-000009070000}"/>
    <cellStyle name="Обычный 3 2 5" xfId="1802" xr:uid="{00000000-0005-0000-0000-00000A070000}"/>
    <cellStyle name="Обычный 3 3" xfId="1803" xr:uid="{00000000-0005-0000-0000-00000B070000}"/>
    <cellStyle name="Обычный 3 3 2" xfId="1804" xr:uid="{00000000-0005-0000-0000-00000C070000}"/>
    <cellStyle name="Обычный 3 3 3" xfId="1805" xr:uid="{00000000-0005-0000-0000-00000D070000}"/>
    <cellStyle name="Обычный 3 3 4" xfId="1806" xr:uid="{00000000-0005-0000-0000-00000E070000}"/>
    <cellStyle name="Обычный 3 4" xfId="1807" xr:uid="{00000000-0005-0000-0000-00000F070000}"/>
    <cellStyle name="Обычный 3 5" xfId="1808" xr:uid="{00000000-0005-0000-0000-000010070000}"/>
    <cellStyle name="Обычный 3 6" xfId="1809" xr:uid="{00000000-0005-0000-0000-000011070000}"/>
    <cellStyle name="Обычный 3 7" xfId="1810" xr:uid="{00000000-0005-0000-0000-000012070000}"/>
    <cellStyle name="Обычный 3 8" xfId="1811" xr:uid="{00000000-0005-0000-0000-000013070000}"/>
    <cellStyle name="Обычный 3 9" xfId="1812" xr:uid="{00000000-0005-0000-0000-000014070000}"/>
    <cellStyle name="Обычный 4" xfId="1813" xr:uid="{00000000-0005-0000-0000-000015070000}"/>
    <cellStyle name="Обычный 4 10" xfId="1814" xr:uid="{00000000-0005-0000-0000-000016070000}"/>
    <cellStyle name="Обычный 4 11" xfId="1815" xr:uid="{00000000-0005-0000-0000-000017070000}"/>
    <cellStyle name="Обычный 4 12" xfId="1816" xr:uid="{00000000-0005-0000-0000-000018070000}"/>
    <cellStyle name="Обычный 4 2" xfId="1817" xr:uid="{00000000-0005-0000-0000-000019070000}"/>
    <cellStyle name="Обычный 4 3" xfId="1818" xr:uid="{00000000-0005-0000-0000-00001A070000}"/>
    <cellStyle name="Обычный 4 4" xfId="1819" xr:uid="{00000000-0005-0000-0000-00001B070000}"/>
    <cellStyle name="Обычный 4 5" xfId="1820" xr:uid="{00000000-0005-0000-0000-00001C070000}"/>
    <cellStyle name="Обычный 4 6" xfId="1821" xr:uid="{00000000-0005-0000-0000-00001D070000}"/>
    <cellStyle name="Обычный 4 7" xfId="1822" xr:uid="{00000000-0005-0000-0000-00001E070000}"/>
    <cellStyle name="Обычный 4 8" xfId="1823" xr:uid="{00000000-0005-0000-0000-00001F070000}"/>
    <cellStyle name="Обычный 4 9" xfId="1824" xr:uid="{00000000-0005-0000-0000-000020070000}"/>
    <cellStyle name="Обычный 5" xfId="1825" xr:uid="{00000000-0005-0000-0000-000021070000}"/>
    <cellStyle name="Обычный 5 2" xfId="1826" xr:uid="{00000000-0005-0000-0000-000022070000}"/>
    <cellStyle name="Обычный 5 3" xfId="1827" xr:uid="{00000000-0005-0000-0000-000023070000}"/>
    <cellStyle name="Обычный 5 4" xfId="1828" xr:uid="{00000000-0005-0000-0000-000024070000}"/>
    <cellStyle name="Обычный 6" xfId="1829" xr:uid="{00000000-0005-0000-0000-000025070000}"/>
    <cellStyle name="Обычный 6 2" xfId="1830" xr:uid="{00000000-0005-0000-0000-000026070000}"/>
    <cellStyle name="Обычный 6 3" xfId="1831" xr:uid="{00000000-0005-0000-0000-000027070000}"/>
    <cellStyle name="Обычный 7" xfId="1832" xr:uid="{00000000-0005-0000-0000-000028070000}"/>
    <cellStyle name="Обычный 7 2" xfId="1833" xr:uid="{00000000-0005-0000-0000-000029070000}"/>
    <cellStyle name="Обычный 7 3" xfId="1834" xr:uid="{00000000-0005-0000-0000-00002A070000}"/>
    <cellStyle name="Обычный 8" xfId="1835" xr:uid="{00000000-0005-0000-0000-00002B070000}"/>
    <cellStyle name="Обычный 8 2" xfId="1836" xr:uid="{00000000-0005-0000-0000-00002C070000}"/>
    <cellStyle name="Обычный 8 3" xfId="1837" xr:uid="{00000000-0005-0000-0000-00002D070000}"/>
    <cellStyle name="Обычный 9" xfId="1838" xr:uid="{00000000-0005-0000-0000-00002E070000}"/>
    <cellStyle name="Обычный 9 2" xfId="1839" xr:uid="{00000000-0005-0000-0000-00002F070000}"/>
    <cellStyle name="Обычный 9 3" xfId="1840" xr:uid="{00000000-0005-0000-0000-000030070000}"/>
    <cellStyle name="Обычный_Стратегия развития АПК 2007-20012 _перевод" xfId="1841" xr:uid="{00000000-0005-0000-0000-000031070000}"/>
    <cellStyle name="Обычный_Фин модель" xfId="1842" xr:uid="{00000000-0005-0000-0000-000032070000}"/>
    <cellStyle name="Обычный_Фин модель Город природы общий" xfId="1843" xr:uid="{00000000-0005-0000-0000-000033070000}"/>
    <cellStyle name="Плохой 10" xfId="1844" xr:uid="{00000000-0005-0000-0000-000034070000}"/>
    <cellStyle name="Плохой 2" xfId="1845" xr:uid="{00000000-0005-0000-0000-000035070000}"/>
    <cellStyle name="Плохой 2 2" xfId="1846" xr:uid="{00000000-0005-0000-0000-000036070000}"/>
    <cellStyle name="Плохой 2 2 2" xfId="1847" xr:uid="{00000000-0005-0000-0000-000037070000}"/>
    <cellStyle name="Плохой 2 2 3" xfId="1848" xr:uid="{00000000-0005-0000-0000-000038070000}"/>
    <cellStyle name="Плохой 2 3" xfId="1849" xr:uid="{00000000-0005-0000-0000-000039070000}"/>
    <cellStyle name="Плохой 2 3 2" xfId="1850" xr:uid="{00000000-0005-0000-0000-00003A070000}"/>
    <cellStyle name="Плохой 2 3 3" xfId="1851" xr:uid="{00000000-0005-0000-0000-00003B070000}"/>
    <cellStyle name="Плохой 2 4" xfId="1852" xr:uid="{00000000-0005-0000-0000-00003C070000}"/>
    <cellStyle name="Плохой 2 5" xfId="1853" xr:uid="{00000000-0005-0000-0000-00003D070000}"/>
    <cellStyle name="Плохой 2 6" xfId="1854" xr:uid="{00000000-0005-0000-0000-00003E070000}"/>
    <cellStyle name="Плохой 2 7" xfId="1855" xr:uid="{00000000-0005-0000-0000-00003F070000}"/>
    <cellStyle name="Плохой 2 8" xfId="1856" xr:uid="{00000000-0005-0000-0000-000040070000}"/>
    <cellStyle name="Плохой 3" xfId="1857" xr:uid="{00000000-0005-0000-0000-000041070000}"/>
    <cellStyle name="Плохой 3 2" xfId="1858" xr:uid="{00000000-0005-0000-0000-000042070000}"/>
    <cellStyle name="Плохой 3 3" xfId="1859" xr:uid="{00000000-0005-0000-0000-000043070000}"/>
    <cellStyle name="Плохой 3 4" xfId="1860" xr:uid="{00000000-0005-0000-0000-000044070000}"/>
    <cellStyle name="Плохой 4" xfId="1861" xr:uid="{00000000-0005-0000-0000-000045070000}"/>
    <cellStyle name="Плохой 4 2" xfId="1862" xr:uid="{00000000-0005-0000-0000-000046070000}"/>
    <cellStyle name="Плохой 4 3" xfId="1863" xr:uid="{00000000-0005-0000-0000-000047070000}"/>
    <cellStyle name="Плохой 5" xfId="1864" xr:uid="{00000000-0005-0000-0000-000048070000}"/>
    <cellStyle name="Плохой 5 2" xfId="1865" xr:uid="{00000000-0005-0000-0000-000049070000}"/>
    <cellStyle name="Плохой 5 3" xfId="1866" xr:uid="{00000000-0005-0000-0000-00004A070000}"/>
    <cellStyle name="Плохой 6" xfId="1867" xr:uid="{00000000-0005-0000-0000-00004B070000}"/>
    <cellStyle name="Плохой 7" xfId="1868" xr:uid="{00000000-0005-0000-0000-00004C070000}"/>
    <cellStyle name="Плохой 8" xfId="1869" xr:uid="{00000000-0005-0000-0000-00004D070000}"/>
    <cellStyle name="Плохой 9" xfId="1870" xr:uid="{00000000-0005-0000-0000-00004E070000}"/>
    <cellStyle name="Подгруппа" xfId="1871" xr:uid="{00000000-0005-0000-0000-00004F070000}"/>
    <cellStyle name="Подгруппа 2" xfId="1872" xr:uid="{00000000-0005-0000-0000-000050070000}"/>
    <cellStyle name="Подгруппа 3" xfId="1873" xr:uid="{00000000-0005-0000-0000-000051070000}"/>
    <cellStyle name="Подгруппа 4" xfId="1874" xr:uid="{00000000-0005-0000-0000-000052070000}"/>
    <cellStyle name="Пояснение 2" xfId="1875" xr:uid="{00000000-0005-0000-0000-000053070000}"/>
    <cellStyle name="Пояснение 2 2" xfId="1876" xr:uid="{00000000-0005-0000-0000-000054070000}"/>
    <cellStyle name="Пояснение 2 3" xfId="1877" xr:uid="{00000000-0005-0000-0000-000055070000}"/>
    <cellStyle name="Пояснение 2 4" xfId="1878" xr:uid="{00000000-0005-0000-0000-000056070000}"/>
    <cellStyle name="Пояснение 3" xfId="1879" xr:uid="{00000000-0005-0000-0000-000057070000}"/>
    <cellStyle name="Пояснение 3 2" xfId="1880" xr:uid="{00000000-0005-0000-0000-000058070000}"/>
    <cellStyle name="Пояснение 3 3" xfId="1881" xr:uid="{00000000-0005-0000-0000-000059070000}"/>
    <cellStyle name="Пояснение 3 4" xfId="1882" xr:uid="{00000000-0005-0000-0000-00005A070000}"/>
    <cellStyle name="Пояснение 4" xfId="1883" xr:uid="{00000000-0005-0000-0000-00005B070000}"/>
    <cellStyle name="Пояснение 4 2" xfId="1884" xr:uid="{00000000-0005-0000-0000-00005C070000}"/>
    <cellStyle name="Пояснение 4 3" xfId="1885" xr:uid="{00000000-0005-0000-0000-00005D070000}"/>
    <cellStyle name="Пояснение 5" xfId="1886" xr:uid="{00000000-0005-0000-0000-00005E070000}"/>
    <cellStyle name="Пояснение 5 2" xfId="1887" xr:uid="{00000000-0005-0000-0000-00005F070000}"/>
    <cellStyle name="Пояснение 5 3" xfId="1888" xr:uid="{00000000-0005-0000-0000-000060070000}"/>
    <cellStyle name="Пояснение 6" xfId="1889" xr:uid="{00000000-0005-0000-0000-000061070000}"/>
    <cellStyle name="Пояснение 7" xfId="1890" xr:uid="{00000000-0005-0000-0000-000062070000}"/>
    <cellStyle name="Пояснение 8" xfId="1891" xr:uid="{00000000-0005-0000-0000-000063070000}"/>
    <cellStyle name="Примечание 10" xfId="1892" xr:uid="{00000000-0005-0000-0000-000064070000}"/>
    <cellStyle name="Примечание 2" xfId="1893" xr:uid="{00000000-0005-0000-0000-000065070000}"/>
    <cellStyle name="Примечание 2 2" xfId="1894" xr:uid="{00000000-0005-0000-0000-000066070000}"/>
    <cellStyle name="Примечание 2 2 2" xfId="1895" xr:uid="{00000000-0005-0000-0000-000067070000}"/>
    <cellStyle name="Примечание 2 2 3" xfId="1896" xr:uid="{00000000-0005-0000-0000-000068070000}"/>
    <cellStyle name="Примечание 2 3" xfId="1897" xr:uid="{00000000-0005-0000-0000-000069070000}"/>
    <cellStyle name="Примечание 2 3 2" xfId="1898" xr:uid="{00000000-0005-0000-0000-00006A070000}"/>
    <cellStyle name="Примечание 2 3 3" xfId="1899" xr:uid="{00000000-0005-0000-0000-00006B070000}"/>
    <cellStyle name="Примечание 2 4" xfId="1900" xr:uid="{00000000-0005-0000-0000-00006C070000}"/>
    <cellStyle name="Примечание 2 5" xfId="1901" xr:uid="{00000000-0005-0000-0000-00006D070000}"/>
    <cellStyle name="Примечание 2 6" xfId="1902" xr:uid="{00000000-0005-0000-0000-00006E070000}"/>
    <cellStyle name="Примечание 2 7" xfId="1903" xr:uid="{00000000-0005-0000-0000-00006F070000}"/>
    <cellStyle name="Примечание 2 8" xfId="1904" xr:uid="{00000000-0005-0000-0000-000070070000}"/>
    <cellStyle name="Примечание 3" xfId="1905" xr:uid="{00000000-0005-0000-0000-000071070000}"/>
    <cellStyle name="Примечание 3 2" xfId="1906" xr:uid="{00000000-0005-0000-0000-000072070000}"/>
    <cellStyle name="Примечание 3 3" xfId="1907" xr:uid="{00000000-0005-0000-0000-000073070000}"/>
    <cellStyle name="Примечание 3 4" xfId="1908" xr:uid="{00000000-0005-0000-0000-000074070000}"/>
    <cellStyle name="Примечание 4" xfId="1909" xr:uid="{00000000-0005-0000-0000-000075070000}"/>
    <cellStyle name="Примечание 4 2" xfId="1910" xr:uid="{00000000-0005-0000-0000-000076070000}"/>
    <cellStyle name="Примечание 4 3" xfId="1911" xr:uid="{00000000-0005-0000-0000-000077070000}"/>
    <cellStyle name="Примечание 5" xfId="1912" xr:uid="{00000000-0005-0000-0000-000078070000}"/>
    <cellStyle name="Примечание 5 2" xfId="1913" xr:uid="{00000000-0005-0000-0000-000079070000}"/>
    <cellStyle name="Примечание 5 3" xfId="1914" xr:uid="{00000000-0005-0000-0000-00007A070000}"/>
    <cellStyle name="Примечание 6" xfId="1915" xr:uid="{00000000-0005-0000-0000-00007B070000}"/>
    <cellStyle name="Примечание 7" xfId="1916" xr:uid="{00000000-0005-0000-0000-00007C070000}"/>
    <cellStyle name="Примечание 8" xfId="1917" xr:uid="{00000000-0005-0000-0000-00007D070000}"/>
    <cellStyle name="Примечание 9" xfId="1918" xr:uid="{00000000-0005-0000-0000-00007E070000}"/>
    <cellStyle name="Продукт" xfId="1919" xr:uid="{00000000-0005-0000-0000-00007F070000}"/>
    <cellStyle name="Продукт 2" xfId="1920" xr:uid="{00000000-0005-0000-0000-000080070000}"/>
    <cellStyle name="Продукт 3" xfId="1921" xr:uid="{00000000-0005-0000-0000-000081070000}"/>
    <cellStyle name="Продукт 4" xfId="1922" xr:uid="{00000000-0005-0000-0000-000082070000}"/>
    <cellStyle name="Процентный" xfId="1923" builtinId="5"/>
    <cellStyle name="Процентный 10" xfId="1924" xr:uid="{00000000-0005-0000-0000-000084070000}"/>
    <cellStyle name="Процентный 11" xfId="1925" xr:uid="{00000000-0005-0000-0000-000085070000}"/>
    <cellStyle name="Процентный 17" xfId="1926" xr:uid="{00000000-0005-0000-0000-000086070000}"/>
    <cellStyle name="Процентный 2" xfId="1927" xr:uid="{00000000-0005-0000-0000-000087070000}"/>
    <cellStyle name="Процентный 2 2" xfId="1928" xr:uid="{00000000-0005-0000-0000-000088070000}"/>
    <cellStyle name="Процентный 2 2 2" xfId="1929" xr:uid="{00000000-0005-0000-0000-000089070000}"/>
    <cellStyle name="Процентный 2 2 3" xfId="1930" xr:uid="{00000000-0005-0000-0000-00008A070000}"/>
    <cellStyle name="Процентный 2 2 4" xfId="1931" xr:uid="{00000000-0005-0000-0000-00008B070000}"/>
    <cellStyle name="Процентный 2 3" xfId="1932" xr:uid="{00000000-0005-0000-0000-00008C070000}"/>
    <cellStyle name="Процентный 2 4" xfId="1933" xr:uid="{00000000-0005-0000-0000-00008D070000}"/>
    <cellStyle name="Процентный 2 5" xfId="1934" xr:uid="{00000000-0005-0000-0000-00008E070000}"/>
    <cellStyle name="Процентный 2 6" xfId="1935" xr:uid="{00000000-0005-0000-0000-00008F070000}"/>
    <cellStyle name="Процентный 3" xfId="1936" xr:uid="{00000000-0005-0000-0000-000090070000}"/>
    <cellStyle name="Процентный 3 2" xfId="1937" xr:uid="{00000000-0005-0000-0000-000091070000}"/>
    <cellStyle name="Процентный 3 3" xfId="1938" xr:uid="{00000000-0005-0000-0000-000092070000}"/>
    <cellStyle name="Процентный 3 4" xfId="1939" xr:uid="{00000000-0005-0000-0000-000093070000}"/>
    <cellStyle name="Процентный 4" xfId="1940" xr:uid="{00000000-0005-0000-0000-000094070000}"/>
    <cellStyle name="Процентный 4 2" xfId="1941" xr:uid="{00000000-0005-0000-0000-000095070000}"/>
    <cellStyle name="Процентный 4 3" xfId="1942" xr:uid="{00000000-0005-0000-0000-000096070000}"/>
    <cellStyle name="Процентный 4 4" xfId="1943" xr:uid="{00000000-0005-0000-0000-000097070000}"/>
    <cellStyle name="Процентный 5" xfId="1944" xr:uid="{00000000-0005-0000-0000-000098070000}"/>
    <cellStyle name="Процентный 6" xfId="1945" xr:uid="{00000000-0005-0000-0000-000099070000}"/>
    <cellStyle name="Процентный 7" xfId="1946" xr:uid="{00000000-0005-0000-0000-00009A070000}"/>
    <cellStyle name="Процентный 8" xfId="1947" xr:uid="{00000000-0005-0000-0000-00009B070000}"/>
    <cellStyle name="Процентный 9" xfId="1948" xr:uid="{00000000-0005-0000-0000-00009C070000}"/>
    <cellStyle name="Процентный_Фин модель Город природы общий" xfId="1949" xr:uid="{00000000-0005-0000-0000-00009D070000}"/>
    <cellStyle name="Разница" xfId="1950" xr:uid="{00000000-0005-0000-0000-00009E070000}"/>
    <cellStyle name="Разница 2" xfId="1951" xr:uid="{00000000-0005-0000-0000-00009F070000}"/>
    <cellStyle name="Разница 3" xfId="1952" xr:uid="{00000000-0005-0000-0000-0000A0070000}"/>
    <cellStyle name="Разница 4" xfId="1953" xr:uid="{00000000-0005-0000-0000-0000A1070000}"/>
    <cellStyle name="Сводная таблица" xfId="1954" xr:uid="{00000000-0005-0000-0000-0000A2070000}"/>
    <cellStyle name="Сводная таблица 2" xfId="1955" xr:uid="{00000000-0005-0000-0000-0000A3070000}"/>
    <cellStyle name="Сводная таблица 3" xfId="1956" xr:uid="{00000000-0005-0000-0000-0000A4070000}"/>
    <cellStyle name="Сводная таблица 4" xfId="1957" xr:uid="{00000000-0005-0000-0000-0000A5070000}"/>
    <cellStyle name="Связанная ячейка 2" xfId="1958" xr:uid="{00000000-0005-0000-0000-0000A6070000}"/>
    <cellStyle name="Связанная ячейка 2 2" xfId="1959" xr:uid="{00000000-0005-0000-0000-0000A7070000}"/>
    <cellStyle name="Связанная ячейка 2 3" xfId="1960" xr:uid="{00000000-0005-0000-0000-0000A8070000}"/>
    <cellStyle name="Связанная ячейка 2 4" xfId="1961" xr:uid="{00000000-0005-0000-0000-0000A9070000}"/>
    <cellStyle name="Связанная ячейка 3" xfId="1962" xr:uid="{00000000-0005-0000-0000-0000AA070000}"/>
    <cellStyle name="Связанная ячейка 3 2" xfId="1963" xr:uid="{00000000-0005-0000-0000-0000AB070000}"/>
    <cellStyle name="Связанная ячейка 3 3" xfId="1964" xr:uid="{00000000-0005-0000-0000-0000AC070000}"/>
    <cellStyle name="Связанная ячейка 3 4" xfId="1965" xr:uid="{00000000-0005-0000-0000-0000AD070000}"/>
    <cellStyle name="Связанная ячейка 4" xfId="1966" xr:uid="{00000000-0005-0000-0000-0000AE070000}"/>
    <cellStyle name="Связанная ячейка 4 2" xfId="1967" xr:uid="{00000000-0005-0000-0000-0000AF070000}"/>
    <cellStyle name="Связанная ячейка 4 3" xfId="1968" xr:uid="{00000000-0005-0000-0000-0000B0070000}"/>
    <cellStyle name="Связанная ячейка 5" xfId="1969" xr:uid="{00000000-0005-0000-0000-0000B1070000}"/>
    <cellStyle name="Связанная ячейка 5 2" xfId="1970" xr:uid="{00000000-0005-0000-0000-0000B2070000}"/>
    <cellStyle name="Связанная ячейка 5 3" xfId="1971" xr:uid="{00000000-0005-0000-0000-0000B3070000}"/>
    <cellStyle name="Связанная ячейка 6" xfId="1972" xr:uid="{00000000-0005-0000-0000-0000B4070000}"/>
    <cellStyle name="Связанная ячейка 7" xfId="1973" xr:uid="{00000000-0005-0000-0000-0000B5070000}"/>
    <cellStyle name="Связанная ячейка 8" xfId="1974" xr:uid="{00000000-0005-0000-0000-0000B6070000}"/>
    <cellStyle name="Стиль 1" xfId="1975" xr:uid="{00000000-0005-0000-0000-0000B7070000}"/>
    <cellStyle name="Стиль 1 2" xfId="1976" xr:uid="{00000000-0005-0000-0000-0000B8070000}"/>
    <cellStyle name="Стиль 1 3" xfId="1977" xr:uid="{00000000-0005-0000-0000-0000B9070000}"/>
    <cellStyle name="Стиль 1 4" xfId="1978" xr:uid="{00000000-0005-0000-0000-0000BA070000}"/>
    <cellStyle name="Стиль 1 5" xfId="1979" xr:uid="{00000000-0005-0000-0000-0000BB070000}"/>
    <cellStyle name="Стиль 1 6" xfId="1980" xr:uid="{00000000-0005-0000-0000-0000BC070000}"/>
    <cellStyle name="Стиль 1 7" xfId="1981" xr:uid="{00000000-0005-0000-0000-0000BD070000}"/>
    <cellStyle name="Субсчет" xfId="1982" xr:uid="{00000000-0005-0000-0000-0000BE070000}"/>
    <cellStyle name="Субсчет 2" xfId="1983" xr:uid="{00000000-0005-0000-0000-0000BF070000}"/>
    <cellStyle name="Субсчет 3" xfId="1984" xr:uid="{00000000-0005-0000-0000-0000C0070000}"/>
    <cellStyle name="Субсчет 4" xfId="1985" xr:uid="{00000000-0005-0000-0000-0000C1070000}"/>
    <cellStyle name="Счет" xfId="1986" xr:uid="{00000000-0005-0000-0000-0000C2070000}"/>
    <cellStyle name="Счет 2" xfId="1987" xr:uid="{00000000-0005-0000-0000-0000C3070000}"/>
    <cellStyle name="Счет 3" xfId="1988" xr:uid="{00000000-0005-0000-0000-0000C4070000}"/>
    <cellStyle name="Счет 4" xfId="1989" xr:uid="{00000000-0005-0000-0000-0000C5070000}"/>
    <cellStyle name="Текст предупреждения 2" xfId="1990" xr:uid="{00000000-0005-0000-0000-0000C6070000}"/>
    <cellStyle name="Текст предупреждения 2 2" xfId="1991" xr:uid="{00000000-0005-0000-0000-0000C7070000}"/>
    <cellStyle name="Текст предупреждения 2 3" xfId="1992" xr:uid="{00000000-0005-0000-0000-0000C8070000}"/>
    <cellStyle name="Текст предупреждения 2 4" xfId="1993" xr:uid="{00000000-0005-0000-0000-0000C9070000}"/>
    <cellStyle name="Текст предупреждения 3" xfId="1994" xr:uid="{00000000-0005-0000-0000-0000CA070000}"/>
    <cellStyle name="Текст предупреждения 3 2" xfId="1995" xr:uid="{00000000-0005-0000-0000-0000CB070000}"/>
    <cellStyle name="Текст предупреждения 3 3" xfId="1996" xr:uid="{00000000-0005-0000-0000-0000CC070000}"/>
    <cellStyle name="Текст предупреждения 3 4" xfId="1997" xr:uid="{00000000-0005-0000-0000-0000CD070000}"/>
    <cellStyle name="Текст предупреждения 4" xfId="1998" xr:uid="{00000000-0005-0000-0000-0000CE070000}"/>
    <cellStyle name="Текст предупреждения 4 2" xfId="1999" xr:uid="{00000000-0005-0000-0000-0000CF070000}"/>
    <cellStyle name="Текст предупреждения 4 3" xfId="2000" xr:uid="{00000000-0005-0000-0000-0000D0070000}"/>
    <cellStyle name="Текст предупреждения 5" xfId="2001" xr:uid="{00000000-0005-0000-0000-0000D1070000}"/>
    <cellStyle name="Текст предупреждения 5 2" xfId="2002" xr:uid="{00000000-0005-0000-0000-0000D2070000}"/>
    <cellStyle name="Текст предупреждения 5 3" xfId="2003" xr:uid="{00000000-0005-0000-0000-0000D3070000}"/>
    <cellStyle name="Текст предупреждения 6" xfId="2004" xr:uid="{00000000-0005-0000-0000-0000D4070000}"/>
    <cellStyle name="Текст предупреждения 7" xfId="2005" xr:uid="{00000000-0005-0000-0000-0000D5070000}"/>
    <cellStyle name="Текст предупреждения 8" xfId="2006" xr:uid="{00000000-0005-0000-0000-0000D6070000}"/>
    <cellStyle name="Тысячи [0]_Chart1 (Sales &amp; Costs)" xfId="2007" xr:uid="{00000000-0005-0000-0000-0000D7070000}"/>
    <cellStyle name="Тысячи_Chart1 (Sales &amp; Costs)" xfId="2008" xr:uid="{00000000-0005-0000-0000-0000D8070000}"/>
    <cellStyle name="Финансовый [0] 2" xfId="2009" xr:uid="{00000000-0005-0000-0000-0000D9070000}"/>
    <cellStyle name="Финансовый [0] 2 2" xfId="2010" xr:uid="{00000000-0005-0000-0000-0000DA070000}"/>
    <cellStyle name="Финансовый [0] 2 3" xfId="2011" xr:uid="{00000000-0005-0000-0000-0000DB070000}"/>
    <cellStyle name="Финансовый [0] 2 4" xfId="2012" xr:uid="{00000000-0005-0000-0000-0000DC070000}"/>
    <cellStyle name="Финансовый 10" xfId="2013" xr:uid="{00000000-0005-0000-0000-0000DD070000}"/>
    <cellStyle name="Финансовый 11" xfId="2014" xr:uid="{00000000-0005-0000-0000-0000DE070000}"/>
    <cellStyle name="Финансовый 11 2" xfId="2015" xr:uid="{00000000-0005-0000-0000-0000DF070000}"/>
    <cellStyle name="Финансовый 12" xfId="2016" xr:uid="{00000000-0005-0000-0000-0000E0070000}"/>
    <cellStyle name="Финансовый 13" xfId="2017" xr:uid="{00000000-0005-0000-0000-0000E1070000}"/>
    <cellStyle name="Финансовый 14" xfId="2018" xr:uid="{00000000-0005-0000-0000-0000E2070000}"/>
    <cellStyle name="Финансовый 15" xfId="2019" xr:uid="{00000000-0005-0000-0000-0000E3070000}"/>
    <cellStyle name="Финансовый 16" xfId="2020" xr:uid="{00000000-0005-0000-0000-0000E4070000}"/>
    <cellStyle name="Финансовый 17" xfId="2021" xr:uid="{00000000-0005-0000-0000-0000E5070000}"/>
    <cellStyle name="Финансовый 18" xfId="2022" xr:uid="{00000000-0005-0000-0000-0000E6070000}"/>
    <cellStyle name="Финансовый 18 2" xfId="2023" xr:uid="{00000000-0005-0000-0000-0000E7070000}"/>
    <cellStyle name="Финансовый 19" xfId="2024" xr:uid="{00000000-0005-0000-0000-0000E8070000}"/>
    <cellStyle name="Финансовый 2" xfId="2025" xr:uid="{00000000-0005-0000-0000-0000E9070000}"/>
    <cellStyle name="Финансовый 2 10" xfId="2026" xr:uid="{00000000-0005-0000-0000-0000EA070000}"/>
    <cellStyle name="Финансовый 2 11" xfId="2027" xr:uid="{00000000-0005-0000-0000-0000EB070000}"/>
    <cellStyle name="Финансовый 2 12" xfId="2028" xr:uid="{00000000-0005-0000-0000-0000EC070000}"/>
    <cellStyle name="Финансовый 2 13" xfId="2029" xr:uid="{00000000-0005-0000-0000-0000ED070000}"/>
    <cellStyle name="Финансовый 2 14" xfId="2030" xr:uid="{00000000-0005-0000-0000-0000EE070000}"/>
    <cellStyle name="Финансовый 2 15" xfId="2031" xr:uid="{00000000-0005-0000-0000-0000EF070000}"/>
    <cellStyle name="Финансовый 2 16" xfId="2032" xr:uid="{00000000-0005-0000-0000-0000F0070000}"/>
    <cellStyle name="Финансовый 2 17" xfId="2033" xr:uid="{00000000-0005-0000-0000-0000F1070000}"/>
    <cellStyle name="Финансовый 2 18" xfId="2034" xr:uid="{00000000-0005-0000-0000-0000F2070000}"/>
    <cellStyle name="Финансовый 2 19" xfId="2035" xr:uid="{00000000-0005-0000-0000-0000F3070000}"/>
    <cellStyle name="Финансовый 2 2" xfId="2036" xr:uid="{00000000-0005-0000-0000-0000F4070000}"/>
    <cellStyle name="Финансовый 2 2 10" xfId="2037" xr:uid="{00000000-0005-0000-0000-0000F5070000}"/>
    <cellStyle name="Финансовый 2 2 10 2" xfId="2038" xr:uid="{00000000-0005-0000-0000-0000F6070000}"/>
    <cellStyle name="Финансовый 2 2 10 3" xfId="2039" xr:uid="{00000000-0005-0000-0000-0000F7070000}"/>
    <cellStyle name="Финансовый 2 2 10 4" xfId="2040" xr:uid="{00000000-0005-0000-0000-0000F8070000}"/>
    <cellStyle name="Финансовый 2 2 11" xfId="2041" xr:uid="{00000000-0005-0000-0000-0000F9070000}"/>
    <cellStyle name="Финансовый 2 2 11 2" xfId="2042" xr:uid="{00000000-0005-0000-0000-0000FA070000}"/>
    <cellStyle name="Финансовый 2 2 11 3" xfId="2043" xr:uid="{00000000-0005-0000-0000-0000FB070000}"/>
    <cellStyle name="Финансовый 2 2 11 4" xfId="2044" xr:uid="{00000000-0005-0000-0000-0000FC070000}"/>
    <cellStyle name="Финансовый 2 2 12" xfId="2045" xr:uid="{00000000-0005-0000-0000-0000FD070000}"/>
    <cellStyle name="Финансовый 2 2 12 2" xfId="2046" xr:uid="{00000000-0005-0000-0000-0000FE070000}"/>
    <cellStyle name="Финансовый 2 2 12 3" xfId="2047" xr:uid="{00000000-0005-0000-0000-0000FF070000}"/>
    <cellStyle name="Финансовый 2 2 12 4" xfId="2048" xr:uid="{00000000-0005-0000-0000-000000080000}"/>
    <cellStyle name="Финансовый 2 2 13" xfId="2049" xr:uid="{00000000-0005-0000-0000-000001080000}"/>
    <cellStyle name="Финансовый 2 2 13 2" xfId="2050" xr:uid="{00000000-0005-0000-0000-000002080000}"/>
    <cellStyle name="Финансовый 2 2 13 2 2" xfId="2051" xr:uid="{00000000-0005-0000-0000-000003080000}"/>
    <cellStyle name="Финансовый 2 2 13 2 3" xfId="2052" xr:uid="{00000000-0005-0000-0000-000004080000}"/>
    <cellStyle name="Финансовый 2 2 13 2 4" xfId="2053" xr:uid="{00000000-0005-0000-0000-000005080000}"/>
    <cellStyle name="Финансовый 2 2 13 3" xfId="2054" xr:uid="{00000000-0005-0000-0000-000006080000}"/>
    <cellStyle name="Финансовый 2 2 13 4" xfId="2055" xr:uid="{00000000-0005-0000-0000-000007080000}"/>
    <cellStyle name="Финансовый 2 2 14" xfId="2056" xr:uid="{00000000-0005-0000-0000-000008080000}"/>
    <cellStyle name="Финансовый 2 2 15" xfId="2057" xr:uid="{00000000-0005-0000-0000-000009080000}"/>
    <cellStyle name="Финансовый 2 2 16" xfId="2058" xr:uid="{00000000-0005-0000-0000-00000A080000}"/>
    <cellStyle name="Финансовый 2 2 17" xfId="2059" xr:uid="{00000000-0005-0000-0000-00000B080000}"/>
    <cellStyle name="Финансовый 2 2 18" xfId="2060" xr:uid="{00000000-0005-0000-0000-00000C080000}"/>
    <cellStyle name="Финансовый 2 2 19" xfId="2061" xr:uid="{00000000-0005-0000-0000-00000D080000}"/>
    <cellStyle name="Финансовый 2 2 2" xfId="2062" xr:uid="{00000000-0005-0000-0000-00000E080000}"/>
    <cellStyle name="Финансовый 2 2 2 10" xfId="2063" xr:uid="{00000000-0005-0000-0000-00000F080000}"/>
    <cellStyle name="Финансовый 2 2 2 2" xfId="2064" xr:uid="{00000000-0005-0000-0000-000010080000}"/>
    <cellStyle name="Финансовый 2 2 2 2 2" xfId="2065" xr:uid="{00000000-0005-0000-0000-000011080000}"/>
    <cellStyle name="Финансовый 2 2 2 2 2 2" xfId="2066" xr:uid="{00000000-0005-0000-0000-000012080000}"/>
    <cellStyle name="Финансовый 2 2 2 2 2 2 2" xfId="2067" xr:uid="{00000000-0005-0000-0000-000013080000}"/>
    <cellStyle name="Финансовый 2 2 2 2 2 2 2 2" xfId="2068" xr:uid="{00000000-0005-0000-0000-000014080000}"/>
    <cellStyle name="Финансовый 2 2 2 2 2 2 2 3" xfId="2069" xr:uid="{00000000-0005-0000-0000-000015080000}"/>
    <cellStyle name="Финансовый 2 2 2 2 2 2 3" xfId="2070" xr:uid="{00000000-0005-0000-0000-000016080000}"/>
    <cellStyle name="Финансовый 2 2 2 2 2 2 4" xfId="2071" xr:uid="{00000000-0005-0000-0000-000017080000}"/>
    <cellStyle name="Финансовый 2 2 2 2 2 2 5" xfId="2072" xr:uid="{00000000-0005-0000-0000-000018080000}"/>
    <cellStyle name="Финансовый 2 2 2 2 2 3" xfId="2073" xr:uid="{00000000-0005-0000-0000-000019080000}"/>
    <cellStyle name="Финансовый 2 2 2 2 2 4" xfId="2074" xr:uid="{00000000-0005-0000-0000-00001A080000}"/>
    <cellStyle name="Финансовый 2 2 2 2 2 5" xfId="2075" xr:uid="{00000000-0005-0000-0000-00001B080000}"/>
    <cellStyle name="Финансовый 2 2 2 2 3" xfId="2076" xr:uid="{00000000-0005-0000-0000-00001C080000}"/>
    <cellStyle name="Финансовый 2 2 2 2 4" xfId="2077" xr:uid="{00000000-0005-0000-0000-00001D080000}"/>
    <cellStyle name="Финансовый 2 2 2 2 5" xfId="2078" xr:uid="{00000000-0005-0000-0000-00001E080000}"/>
    <cellStyle name="Финансовый 2 2 2 2 6" xfId="2079" xr:uid="{00000000-0005-0000-0000-00001F080000}"/>
    <cellStyle name="Финансовый 2 2 2 3" xfId="2080" xr:uid="{00000000-0005-0000-0000-000020080000}"/>
    <cellStyle name="Финансовый 2 2 2 4" xfId="2081" xr:uid="{00000000-0005-0000-0000-000021080000}"/>
    <cellStyle name="Финансовый 2 2 2 5" xfId="2082" xr:uid="{00000000-0005-0000-0000-000022080000}"/>
    <cellStyle name="Финансовый 2 2 2 6" xfId="2083" xr:uid="{00000000-0005-0000-0000-000023080000}"/>
    <cellStyle name="Финансовый 2 2 2 7" xfId="2084" xr:uid="{00000000-0005-0000-0000-000024080000}"/>
    <cellStyle name="Финансовый 2 2 2 7 2" xfId="2085" xr:uid="{00000000-0005-0000-0000-000025080000}"/>
    <cellStyle name="Финансовый 2 2 2 8" xfId="2086" xr:uid="{00000000-0005-0000-0000-000026080000}"/>
    <cellStyle name="Финансовый 2 2 2 9" xfId="2087" xr:uid="{00000000-0005-0000-0000-000027080000}"/>
    <cellStyle name="Финансовый 2 2 20" xfId="2088" xr:uid="{00000000-0005-0000-0000-000028080000}"/>
    <cellStyle name="Финансовый 2 2 21" xfId="2089" xr:uid="{00000000-0005-0000-0000-000029080000}"/>
    <cellStyle name="Финансовый 2 2 22" xfId="2090" xr:uid="{00000000-0005-0000-0000-00002A080000}"/>
    <cellStyle name="Финансовый 2 2 23" xfId="2091" xr:uid="{00000000-0005-0000-0000-00002B080000}"/>
    <cellStyle name="Финансовый 2 2 24" xfId="2092" xr:uid="{00000000-0005-0000-0000-00002C080000}"/>
    <cellStyle name="Финансовый 2 2 25" xfId="2093" xr:uid="{00000000-0005-0000-0000-00002D080000}"/>
    <cellStyle name="Финансовый 2 2 26" xfId="2094" xr:uid="{00000000-0005-0000-0000-00002E080000}"/>
    <cellStyle name="Финансовый 2 2 3" xfId="2095" xr:uid="{00000000-0005-0000-0000-00002F080000}"/>
    <cellStyle name="Финансовый 2 2 4" xfId="2096" xr:uid="{00000000-0005-0000-0000-000030080000}"/>
    <cellStyle name="Финансовый 2 2 5" xfId="2097" xr:uid="{00000000-0005-0000-0000-000031080000}"/>
    <cellStyle name="Финансовый 2 2 6" xfId="2098" xr:uid="{00000000-0005-0000-0000-000032080000}"/>
    <cellStyle name="Финансовый 2 2 7" xfId="2099" xr:uid="{00000000-0005-0000-0000-000033080000}"/>
    <cellStyle name="Финансовый 2 2 8" xfId="2100" xr:uid="{00000000-0005-0000-0000-000034080000}"/>
    <cellStyle name="Финансовый 2 2 9" xfId="2101" xr:uid="{00000000-0005-0000-0000-000035080000}"/>
    <cellStyle name="Финансовый 2 2 9 2" xfId="2102" xr:uid="{00000000-0005-0000-0000-000036080000}"/>
    <cellStyle name="Финансовый 2 2 9 2 2" xfId="2103" xr:uid="{00000000-0005-0000-0000-000037080000}"/>
    <cellStyle name="Финансовый 2 2 9 2 2 2" xfId="2104" xr:uid="{00000000-0005-0000-0000-000038080000}"/>
    <cellStyle name="Финансовый 2 2 9 2 2 3" xfId="2105" xr:uid="{00000000-0005-0000-0000-000039080000}"/>
    <cellStyle name="Финансовый 2 2 9 2 2 4" xfId="2106" xr:uid="{00000000-0005-0000-0000-00003A080000}"/>
    <cellStyle name="Финансовый 2 2 9 2 3" xfId="2107" xr:uid="{00000000-0005-0000-0000-00003B080000}"/>
    <cellStyle name="Финансовый 2 2 9 2 4" xfId="2108" xr:uid="{00000000-0005-0000-0000-00003C080000}"/>
    <cellStyle name="Финансовый 2 2 9 3" xfId="2109" xr:uid="{00000000-0005-0000-0000-00003D080000}"/>
    <cellStyle name="Финансовый 2 2 9 4" xfId="2110" xr:uid="{00000000-0005-0000-0000-00003E080000}"/>
    <cellStyle name="Финансовый 2 2 9 5" xfId="2111" xr:uid="{00000000-0005-0000-0000-00003F080000}"/>
    <cellStyle name="Финансовый 2 20" xfId="2112" xr:uid="{00000000-0005-0000-0000-000040080000}"/>
    <cellStyle name="Финансовый 2 21" xfId="2113" xr:uid="{00000000-0005-0000-0000-000041080000}"/>
    <cellStyle name="Финансовый 2 22" xfId="2114" xr:uid="{00000000-0005-0000-0000-000042080000}"/>
    <cellStyle name="Финансовый 2 23" xfId="2115" xr:uid="{00000000-0005-0000-0000-000043080000}"/>
    <cellStyle name="Финансовый 2 24" xfId="2116" xr:uid="{00000000-0005-0000-0000-000044080000}"/>
    <cellStyle name="Финансовый 2 25" xfId="2117" xr:uid="{00000000-0005-0000-0000-000045080000}"/>
    <cellStyle name="Финансовый 2 26" xfId="2118" xr:uid="{00000000-0005-0000-0000-000046080000}"/>
    <cellStyle name="Финансовый 2 3" xfId="2119" xr:uid="{00000000-0005-0000-0000-000047080000}"/>
    <cellStyle name="Финансовый 2 3 2" xfId="2120" xr:uid="{00000000-0005-0000-0000-000048080000}"/>
    <cellStyle name="Финансовый 2 3 3" xfId="2121" xr:uid="{00000000-0005-0000-0000-000049080000}"/>
    <cellStyle name="Финансовый 2 4" xfId="2122" xr:uid="{00000000-0005-0000-0000-00004A080000}"/>
    <cellStyle name="Финансовый 2 4 2" xfId="2123" xr:uid="{00000000-0005-0000-0000-00004B080000}"/>
    <cellStyle name="Финансовый 2 4 3" xfId="2124" xr:uid="{00000000-0005-0000-0000-00004C080000}"/>
    <cellStyle name="Финансовый 2 5" xfId="2125" xr:uid="{00000000-0005-0000-0000-00004D080000}"/>
    <cellStyle name="Финансовый 2 5 2" xfId="2126" xr:uid="{00000000-0005-0000-0000-00004E080000}"/>
    <cellStyle name="Финансовый 2 5 3" xfId="2127" xr:uid="{00000000-0005-0000-0000-00004F080000}"/>
    <cellStyle name="Финансовый 2 6" xfId="2128" xr:uid="{00000000-0005-0000-0000-000050080000}"/>
    <cellStyle name="Финансовый 2 7" xfId="2129" xr:uid="{00000000-0005-0000-0000-000051080000}"/>
    <cellStyle name="Финансовый 2 8" xfId="2130" xr:uid="{00000000-0005-0000-0000-000052080000}"/>
    <cellStyle name="Финансовый 2 9" xfId="2131" xr:uid="{00000000-0005-0000-0000-000053080000}"/>
    <cellStyle name="Финансовый 20" xfId="2132" xr:uid="{00000000-0005-0000-0000-000054080000}"/>
    <cellStyle name="Финансовый 21" xfId="2133" xr:uid="{00000000-0005-0000-0000-000055080000}"/>
    <cellStyle name="Финансовый 22" xfId="2134" xr:uid="{00000000-0005-0000-0000-000056080000}"/>
    <cellStyle name="Финансовый 23" xfId="2135" xr:uid="{00000000-0005-0000-0000-000057080000}"/>
    <cellStyle name="Финансовый 3" xfId="2136" xr:uid="{00000000-0005-0000-0000-000058080000}"/>
    <cellStyle name="Финансовый 3 10" xfId="2137" xr:uid="{00000000-0005-0000-0000-000059080000}"/>
    <cellStyle name="Финансовый 3 11" xfId="2138" xr:uid="{00000000-0005-0000-0000-00005A080000}"/>
    <cellStyle name="Финансовый 3 12" xfId="2139" xr:uid="{00000000-0005-0000-0000-00005B080000}"/>
    <cellStyle name="Финансовый 3 2" xfId="2140" xr:uid="{00000000-0005-0000-0000-00005C080000}"/>
    <cellStyle name="Финансовый 3 2 2" xfId="2141" xr:uid="{00000000-0005-0000-0000-00005D080000}"/>
    <cellStyle name="Финансовый 3 2 3" xfId="2142" xr:uid="{00000000-0005-0000-0000-00005E080000}"/>
    <cellStyle name="Финансовый 3 3" xfId="2143" xr:uid="{00000000-0005-0000-0000-00005F080000}"/>
    <cellStyle name="Финансовый 3 3 2" xfId="2144" xr:uid="{00000000-0005-0000-0000-000060080000}"/>
    <cellStyle name="Финансовый 3 3 3" xfId="2145" xr:uid="{00000000-0005-0000-0000-000061080000}"/>
    <cellStyle name="Финансовый 3 4" xfId="2146" xr:uid="{00000000-0005-0000-0000-000062080000}"/>
    <cellStyle name="Финансовый 3 4 2" xfId="2147" xr:uid="{00000000-0005-0000-0000-000063080000}"/>
    <cellStyle name="Финансовый 3 4 3" xfId="2148" xr:uid="{00000000-0005-0000-0000-000064080000}"/>
    <cellStyle name="Финансовый 3 5" xfId="2149" xr:uid="{00000000-0005-0000-0000-000065080000}"/>
    <cellStyle name="Финансовый 3 6" xfId="2150" xr:uid="{00000000-0005-0000-0000-000066080000}"/>
    <cellStyle name="Финансовый 3 7" xfId="2151" xr:uid="{00000000-0005-0000-0000-000067080000}"/>
    <cellStyle name="Финансовый 3 8" xfId="2152" xr:uid="{00000000-0005-0000-0000-000068080000}"/>
    <cellStyle name="Финансовый 3 9" xfId="2153" xr:uid="{00000000-0005-0000-0000-000069080000}"/>
    <cellStyle name="Финансовый 4" xfId="2154" xr:uid="{00000000-0005-0000-0000-00006A080000}"/>
    <cellStyle name="Финансовый 4 2" xfId="2155" xr:uid="{00000000-0005-0000-0000-00006B080000}"/>
    <cellStyle name="Финансовый 4 3" xfId="2156" xr:uid="{00000000-0005-0000-0000-00006C080000}"/>
    <cellStyle name="Финансовый 4 4" xfId="2157" xr:uid="{00000000-0005-0000-0000-00006D080000}"/>
    <cellStyle name="Финансовый 5" xfId="2158" xr:uid="{00000000-0005-0000-0000-00006E080000}"/>
    <cellStyle name="Финансовый 5 2" xfId="2159" xr:uid="{00000000-0005-0000-0000-00006F080000}"/>
    <cellStyle name="Финансовый 5 3" xfId="2160" xr:uid="{00000000-0005-0000-0000-000070080000}"/>
    <cellStyle name="Финансовый 6" xfId="2161" xr:uid="{00000000-0005-0000-0000-000071080000}"/>
    <cellStyle name="Финансовый 6 2" xfId="2162" xr:uid="{00000000-0005-0000-0000-000072080000}"/>
    <cellStyle name="Финансовый 7" xfId="2163" xr:uid="{00000000-0005-0000-0000-000073080000}"/>
    <cellStyle name="Финансовый 7 2" xfId="2164" xr:uid="{00000000-0005-0000-0000-000074080000}"/>
    <cellStyle name="Финансовый 7 3" xfId="2165" xr:uid="{00000000-0005-0000-0000-000075080000}"/>
    <cellStyle name="Финансовый 8" xfId="2166" xr:uid="{00000000-0005-0000-0000-000076080000}"/>
    <cellStyle name="Финансовый 9" xfId="2167" xr:uid="{00000000-0005-0000-0000-000077080000}"/>
    <cellStyle name="Финансовый 9 2" xfId="2168" xr:uid="{00000000-0005-0000-0000-000078080000}"/>
    <cellStyle name="Финансовый0[0]_FU_bal" xfId="2169" xr:uid="{00000000-0005-0000-0000-000079080000}"/>
    <cellStyle name="Хороший 10" xfId="2170" xr:uid="{00000000-0005-0000-0000-00007A080000}"/>
    <cellStyle name="Хороший 2" xfId="2171" xr:uid="{00000000-0005-0000-0000-00007B080000}"/>
    <cellStyle name="Хороший 2 2" xfId="2172" xr:uid="{00000000-0005-0000-0000-00007C080000}"/>
    <cellStyle name="Хороший 2 2 2" xfId="2173" xr:uid="{00000000-0005-0000-0000-00007D080000}"/>
    <cellStyle name="Хороший 2 2 3" xfId="2174" xr:uid="{00000000-0005-0000-0000-00007E080000}"/>
    <cellStyle name="Хороший 2 3" xfId="2175" xr:uid="{00000000-0005-0000-0000-00007F080000}"/>
    <cellStyle name="Хороший 2 3 2" xfId="2176" xr:uid="{00000000-0005-0000-0000-000080080000}"/>
    <cellStyle name="Хороший 2 3 3" xfId="2177" xr:uid="{00000000-0005-0000-0000-000081080000}"/>
    <cellStyle name="Хороший 2 4" xfId="2178" xr:uid="{00000000-0005-0000-0000-000082080000}"/>
    <cellStyle name="Хороший 2 5" xfId="2179" xr:uid="{00000000-0005-0000-0000-000083080000}"/>
    <cellStyle name="Хороший 2 6" xfId="2180" xr:uid="{00000000-0005-0000-0000-000084080000}"/>
    <cellStyle name="Хороший 2 7" xfId="2181" xr:uid="{00000000-0005-0000-0000-000085080000}"/>
    <cellStyle name="Хороший 2 8" xfId="2182" xr:uid="{00000000-0005-0000-0000-000086080000}"/>
    <cellStyle name="Хороший 3" xfId="2183" xr:uid="{00000000-0005-0000-0000-000087080000}"/>
    <cellStyle name="Хороший 3 2" xfId="2184" xr:uid="{00000000-0005-0000-0000-000088080000}"/>
    <cellStyle name="Хороший 3 3" xfId="2185" xr:uid="{00000000-0005-0000-0000-000089080000}"/>
    <cellStyle name="Хороший 3 4" xfId="2186" xr:uid="{00000000-0005-0000-0000-00008A080000}"/>
    <cellStyle name="Хороший 4" xfId="2187" xr:uid="{00000000-0005-0000-0000-00008B080000}"/>
    <cellStyle name="Хороший 4 2" xfId="2188" xr:uid="{00000000-0005-0000-0000-00008C080000}"/>
    <cellStyle name="Хороший 4 3" xfId="2189" xr:uid="{00000000-0005-0000-0000-00008D080000}"/>
    <cellStyle name="Хороший 5" xfId="2190" xr:uid="{00000000-0005-0000-0000-00008E080000}"/>
    <cellStyle name="Хороший 5 2" xfId="2191" xr:uid="{00000000-0005-0000-0000-00008F080000}"/>
    <cellStyle name="Хороший 5 3" xfId="2192" xr:uid="{00000000-0005-0000-0000-000090080000}"/>
    <cellStyle name="Хороший 6" xfId="2193" xr:uid="{00000000-0005-0000-0000-000091080000}"/>
    <cellStyle name="Хороший 7" xfId="2194" xr:uid="{00000000-0005-0000-0000-000092080000}"/>
    <cellStyle name="Хороший 8" xfId="2195" xr:uid="{00000000-0005-0000-0000-000093080000}"/>
    <cellStyle name="Хороший 9" xfId="2196" xr:uid="{00000000-0005-0000-0000-000094080000}"/>
    <cellStyle name="Цена_продукта" xfId="2197" xr:uid="{00000000-0005-0000-0000-000095080000}"/>
    <cellStyle name="Шапка" xfId="2198" xr:uid="{00000000-0005-0000-0000-000096080000}"/>
    <cellStyle name="Шапка 2" xfId="2199" xr:uid="{00000000-0005-0000-0000-000097080000}"/>
    <cellStyle name="Шапка 3" xfId="2200" xr:uid="{00000000-0005-0000-0000-000098080000}"/>
    <cellStyle name="Шапка 4" xfId="2201" xr:uid="{00000000-0005-0000-0000-000099080000}"/>
    <cellStyle name="ШАУ" xfId="2202" xr:uid="{00000000-0005-0000-0000-00009A080000}"/>
    <cellStyle name="ШАУ 2" xfId="2203" xr:uid="{00000000-0005-0000-0000-00009B080000}"/>
    <cellStyle name="ШАУ 3" xfId="2204" xr:uid="{00000000-0005-0000-0000-00009C080000}"/>
    <cellStyle name="ШАУ 4" xfId="2205" xr:uid="{00000000-0005-0000-0000-00009D080000}"/>
    <cellStyle name="쉼표_쌍용건설" xfId="2206" xr:uid="{00000000-0005-0000-0000-00009E080000}"/>
    <cellStyle name="표준_쌍용건설" xfId="2207" xr:uid="{00000000-0005-0000-0000-00009F080000}"/>
    <cellStyle name="常规_Bid comparison for 5000m rig060213 DRS　HS" xfId="2208" xr:uid="{00000000-0005-0000-0000-0000A0080000}"/>
    <cellStyle name="样式 1" xfId="2209" xr:uid="{00000000-0005-0000-0000-0000A1080000}"/>
    <cellStyle name="䁺_x0001_" xfId="2210" xr:uid="{00000000-0005-0000-0000-0000A208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98449980179089"/>
          <c:y val="7.6376992510082578E-2"/>
          <c:w val="0.514372529337498"/>
          <c:h val="0.890086422124063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'График реализации'!$B$2</c:f>
              <c:strCache>
                <c:ptCount val="1"/>
                <c:pt idx="0">
                  <c:v>Начало работ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'График реализации'!$A$3:$A$30</c:f>
              <c:strCache>
                <c:ptCount val="28"/>
                <c:pt idx="0">
                  <c:v>Обоснование инвестиционного проекта и управленческое решение</c:v>
                </c:pt>
                <c:pt idx="1">
                  <c:v>Подготовка площадки и инженерных сетей к строительству, получение тех. условий</c:v>
                </c:pt>
                <c:pt idx="2">
                  <c:v>Получение финансирования</c:v>
                </c:pt>
                <c:pt idx="3">
                  <c:v>Создание комплексного проекта завода</c:v>
                </c:pt>
                <c:pt idx="4">
                  <c:v>Строительство 1 цеха</c:v>
                </c:pt>
                <c:pt idx="5">
                  <c:v>Закупка и монтаж оборудования для 1 цеха</c:v>
                </c:pt>
                <c:pt idx="6">
                  <c:v>Привлечение персонала для 1 -ого цеха</c:v>
                </c:pt>
                <c:pt idx="7">
                  <c:v>Пуско-наладка оборудования в 1 цеху</c:v>
                </c:pt>
                <c:pt idx="8">
                  <c:v>Закупка сырья и материалов для производства </c:v>
                </c:pt>
                <c:pt idx="9">
                  <c:v>Запуск 1 цеха</c:v>
                </c:pt>
                <c:pt idx="10">
                  <c:v>Подготовка площадки и инженерных сетей к строительству, получение тех. Условий для строительства 2 -ого цеха</c:v>
                </c:pt>
                <c:pt idx="11">
                  <c:v>Получение финансирования</c:v>
                </c:pt>
                <c:pt idx="12">
                  <c:v>Строительство 2 – ого цеха</c:v>
                </c:pt>
                <c:pt idx="13">
                  <c:v>Закупка и монтаж оборудования для 2 цеха</c:v>
                </c:pt>
                <c:pt idx="14">
                  <c:v>Привлечение персонала для 2-ого цеха</c:v>
                </c:pt>
                <c:pt idx="15">
                  <c:v>Пуско-наладка оборудования во 2 цеху</c:v>
                </c:pt>
                <c:pt idx="16">
                  <c:v>Закупка сырья и материалов</c:v>
                </c:pt>
                <c:pt idx="17">
                  <c:v>Запуск 2 цеха</c:v>
                </c:pt>
                <c:pt idx="18">
                  <c:v>Подготовка площадки и инженерных сетей к строительству, получение тех. Условий для строительства 3 -ого цеха</c:v>
                </c:pt>
                <c:pt idx="19">
                  <c:v>Получение финансирования</c:v>
                </c:pt>
                <c:pt idx="20">
                  <c:v>Строительство 3 – ого цеха</c:v>
                </c:pt>
                <c:pt idx="21">
                  <c:v>Запуск 3 цеха</c:v>
                </c:pt>
                <c:pt idx="22">
                  <c:v>Сдача в аренду площадей 3-ого цеха</c:v>
                </c:pt>
                <c:pt idx="23">
                  <c:v>Подготовка площадки и инженерных сетей к строительству, получение тех. Условий для строительства 4 -ого цеха</c:v>
                </c:pt>
                <c:pt idx="24">
                  <c:v>Получение финансирования</c:v>
                </c:pt>
                <c:pt idx="25">
                  <c:v>Строительство 4 – ого цеха</c:v>
                </c:pt>
                <c:pt idx="26">
                  <c:v>Запуск 4 цеха</c:v>
                </c:pt>
                <c:pt idx="27">
                  <c:v>Сдача в аренду площадей 4-ого цеха</c:v>
                </c:pt>
              </c:strCache>
            </c:strRef>
          </c:cat>
          <c:val>
            <c:numRef>
              <c:f>'График реализации'!$B$3:$B$30</c:f>
              <c:numCache>
                <c:formatCode>m/d/yyyy</c:formatCode>
                <c:ptCount val="28"/>
                <c:pt idx="0">
                  <c:v>44866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45078</c:v>
                </c:pt>
                <c:pt idx="5">
                  <c:v>45170</c:v>
                </c:pt>
                <c:pt idx="6">
                  <c:v>45200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45323</c:v>
                </c:pt>
                <c:pt idx="11">
                  <c:v>45292</c:v>
                </c:pt>
                <c:pt idx="12">
                  <c:v>45444</c:v>
                </c:pt>
                <c:pt idx="13">
                  <c:v>45536</c:v>
                </c:pt>
                <c:pt idx="14">
                  <c:v>45566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45689</c:v>
                </c:pt>
                <c:pt idx="19">
                  <c:v>45658</c:v>
                </c:pt>
                <c:pt idx="20">
                  <c:v>45809</c:v>
                </c:pt>
                <c:pt idx="21">
                  <c:v>45962</c:v>
                </c:pt>
                <c:pt idx="22">
                  <c:v>46023</c:v>
                </c:pt>
                <c:pt idx="23">
                  <c:v>46054</c:v>
                </c:pt>
                <c:pt idx="24">
                  <c:v>46023</c:v>
                </c:pt>
                <c:pt idx="25">
                  <c:v>46174</c:v>
                </c:pt>
                <c:pt idx="26">
                  <c:v>46327</c:v>
                </c:pt>
                <c:pt idx="27">
                  <c:v>46388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1-4814-BA09-E28653D8171D}"/>
            </c:ext>
          </c:extLst>
        </c:ser>
        <c:ser>
          <c:idx val="1"/>
          <c:order val="1"/>
          <c:tx>
            <c:v>длительность</c:v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strRef>
              <c:f>'График реализации'!$A$3:$A$30</c:f>
              <c:strCache>
                <c:ptCount val="28"/>
                <c:pt idx="0">
                  <c:v>Обоснование инвестиционного проекта и управленческое решение</c:v>
                </c:pt>
                <c:pt idx="1">
                  <c:v>Подготовка площадки и инженерных сетей к строительству, получение тех. условий</c:v>
                </c:pt>
                <c:pt idx="2">
                  <c:v>Получение финансирования</c:v>
                </c:pt>
                <c:pt idx="3">
                  <c:v>Создание комплексного проекта завода</c:v>
                </c:pt>
                <c:pt idx="4">
                  <c:v>Строительство 1 цеха</c:v>
                </c:pt>
                <c:pt idx="5">
                  <c:v>Закупка и монтаж оборудования для 1 цеха</c:v>
                </c:pt>
                <c:pt idx="6">
                  <c:v>Привлечение персонала для 1 -ого цеха</c:v>
                </c:pt>
                <c:pt idx="7">
                  <c:v>Пуско-наладка оборудования в 1 цеху</c:v>
                </c:pt>
                <c:pt idx="8">
                  <c:v>Закупка сырья и материалов для производства </c:v>
                </c:pt>
                <c:pt idx="9">
                  <c:v>Запуск 1 цеха</c:v>
                </c:pt>
                <c:pt idx="10">
                  <c:v>Подготовка площадки и инженерных сетей к строительству, получение тех. Условий для строительства 2 -ого цеха</c:v>
                </c:pt>
                <c:pt idx="11">
                  <c:v>Получение финансирования</c:v>
                </c:pt>
                <c:pt idx="12">
                  <c:v>Строительство 2 – ого цеха</c:v>
                </c:pt>
                <c:pt idx="13">
                  <c:v>Закупка и монтаж оборудования для 2 цеха</c:v>
                </c:pt>
                <c:pt idx="14">
                  <c:v>Привлечение персонала для 2-ого цеха</c:v>
                </c:pt>
                <c:pt idx="15">
                  <c:v>Пуско-наладка оборудования во 2 цеху</c:v>
                </c:pt>
                <c:pt idx="16">
                  <c:v>Закупка сырья и материалов</c:v>
                </c:pt>
                <c:pt idx="17">
                  <c:v>Запуск 2 цеха</c:v>
                </c:pt>
                <c:pt idx="18">
                  <c:v>Подготовка площадки и инженерных сетей к строительству, получение тех. Условий для строительства 3 -ого цеха</c:v>
                </c:pt>
                <c:pt idx="19">
                  <c:v>Получение финансирования</c:v>
                </c:pt>
                <c:pt idx="20">
                  <c:v>Строительство 3 – ого цеха</c:v>
                </c:pt>
                <c:pt idx="21">
                  <c:v>Запуск 3 цеха</c:v>
                </c:pt>
                <c:pt idx="22">
                  <c:v>Сдача в аренду площадей 3-ого цеха</c:v>
                </c:pt>
                <c:pt idx="23">
                  <c:v>Подготовка площадки и инженерных сетей к строительству, получение тех. Условий для строительства 4 -ого цеха</c:v>
                </c:pt>
                <c:pt idx="24">
                  <c:v>Получение финансирования</c:v>
                </c:pt>
                <c:pt idx="25">
                  <c:v>Строительство 4 – ого цеха</c:v>
                </c:pt>
                <c:pt idx="26">
                  <c:v>Запуск 4 цеха</c:v>
                </c:pt>
                <c:pt idx="27">
                  <c:v>Сдача в аренду площадей 4-ого цеха</c:v>
                </c:pt>
              </c:strCache>
            </c:strRef>
          </c:cat>
          <c:val>
            <c:numRef>
              <c:f>'График реализации'!$C$3:$C$30</c:f>
              <c:numCache>
                <c:formatCode>General</c:formatCode>
                <c:ptCount val="28"/>
                <c:pt idx="0">
                  <c:v>61</c:v>
                </c:pt>
                <c:pt idx="1">
                  <c:v>89</c:v>
                </c:pt>
                <c:pt idx="2">
                  <c:v>93</c:v>
                </c:pt>
                <c:pt idx="3">
                  <c:v>62</c:v>
                </c:pt>
                <c:pt idx="4">
                  <c:v>152</c:v>
                </c:pt>
                <c:pt idx="5">
                  <c:v>62</c:v>
                </c:pt>
                <c:pt idx="6">
                  <c:v>92</c:v>
                </c:pt>
                <c:pt idx="7">
                  <c:v>61</c:v>
                </c:pt>
                <c:pt idx="8">
                  <c:v>61</c:v>
                </c:pt>
                <c:pt idx="9">
                  <c:v>31</c:v>
                </c:pt>
                <c:pt idx="10">
                  <c:v>90</c:v>
                </c:pt>
                <c:pt idx="11">
                  <c:v>91</c:v>
                </c:pt>
                <c:pt idx="12">
                  <c:v>152</c:v>
                </c:pt>
                <c:pt idx="13">
                  <c:v>62</c:v>
                </c:pt>
                <c:pt idx="14">
                  <c:v>92</c:v>
                </c:pt>
                <c:pt idx="15">
                  <c:v>61</c:v>
                </c:pt>
                <c:pt idx="16">
                  <c:v>61</c:v>
                </c:pt>
                <c:pt idx="17">
                  <c:v>31</c:v>
                </c:pt>
                <c:pt idx="18">
                  <c:v>89</c:v>
                </c:pt>
                <c:pt idx="19">
                  <c:v>90</c:v>
                </c:pt>
                <c:pt idx="20">
                  <c:v>152</c:v>
                </c:pt>
                <c:pt idx="21">
                  <c:v>61</c:v>
                </c:pt>
                <c:pt idx="22">
                  <c:v>90</c:v>
                </c:pt>
                <c:pt idx="23">
                  <c:v>89</c:v>
                </c:pt>
                <c:pt idx="24">
                  <c:v>90</c:v>
                </c:pt>
                <c:pt idx="25">
                  <c:v>152</c:v>
                </c:pt>
                <c:pt idx="26">
                  <c:v>61</c:v>
                </c:pt>
                <c:pt idx="27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1-4814-BA09-E28653D8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749760"/>
        <c:axId val="213751296"/>
      </c:barChart>
      <c:catAx>
        <c:axId val="2137497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13751296"/>
        <c:crossesAt val="44850"/>
        <c:auto val="0"/>
        <c:lblAlgn val="ctr"/>
        <c:lblOffset val="100"/>
        <c:tickLblSkip val="1"/>
        <c:noMultiLvlLbl val="0"/>
      </c:catAx>
      <c:valAx>
        <c:axId val="213751296"/>
        <c:scaling>
          <c:orientation val="minMax"/>
          <c:max val="46477"/>
          <c:min val="44866"/>
        </c:scaling>
        <c:delete val="0"/>
        <c:axPos val="t"/>
        <c:majorGridlines>
          <c:spPr>
            <a:ln>
              <a:solidFill>
                <a:schemeClr val="bg1"/>
              </a:solidFill>
            </a:ln>
          </c:spPr>
        </c:majorGridlines>
        <c:numFmt formatCode="[$-419]mmmm\ yyyy;@" sourceLinked="0"/>
        <c:majorTickMark val="out"/>
        <c:minorTickMark val="none"/>
        <c:tickLblPos val="nextTo"/>
        <c:spPr>
          <a:ln>
            <a:noFill/>
          </a:ln>
        </c:spPr>
        <c:crossAx val="213749760"/>
        <c:crosses val="autoZero"/>
        <c:crossBetween val="between"/>
        <c:majorUnit val="250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444881889763803E-2"/>
          <c:y val="0.11111074657334499"/>
          <c:w val="0.44444356955380582"/>
          <c:h val="0.7407392825896850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B1-441B-A3E8-2BF4EDED474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B1-441B-A3E8-2BF4EDED474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B1-441B-A3E8-2BF4EDED474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4B1-441B-A3E8-2BF4EDED474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1C5-4D25-AAD4-306E0F51BDBE}"/>
              </c:ext>
            </c:extLst>
          </c:dPt>
          <c:dLbls>
            <c:dLbl>
              <c:idx val="0"/>
              <c:layout>
                <c:manualLayout>
                  <c:x val="3.4685586176727914E-2"/>
                  <c:y val="1.300415573053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B1-441B-A3E8-2BF4EDED4744}"/>
                </c:ext>
              </c:extLst>
            </c:dLbl>
            <c:dLbl>
              <c:idx val="2"/>
              <c:layout>
                <c:manualLayout>
                  <c:x val="-3.6478783902012271E-2"/>
                  <c:y val="8.0052493438320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B1-441B-A3E8-2BF4EDED4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Инвестиции!$O$131:$O$135</c:f>
              <c:strCache>
                <c:ptCount val="5"/>
                <c:pt idx="0">
                  <c:v>Подготовительные работы</c:v>
                </c:pt>
                <c:pt idx="1">
                  <c:v>Строительство и обустройство территории и помещений</c:v>
                </c:pt>
                <c:pt idx="2">
                  <c:v>Производственное оборудование</c:v>
                </c:pt>
                <c:pt idx="3">
                  <c:v>Дополнительные расходы</c:v>
                </c:pt>
                <c:pt idx="4">
                  <c:v>Непредвиденные расходы 2% от инвестиций </c:v>
                </c:pt>
              </c:strCache>
            </c:strRef>
          </c:cat>
          <c:val>
            <c:numRef>
              <c:f>Инвестиции!$S$131:$S$135</c:f>
              <c:numCache>
                <c:formatCode>0.0%</c:formatCode>
                <c:ptCount val="5"/>
                <c:pt idx="0">
                  <c:v>4.6589079867010331E-4</c:v>
                </c:pt>
                <c:pt idx="1">
                  <c:v>0.79530034972971253</c:v>
                </c:pt>
                <c:pt idx="2">
                  <c:v>4.6270467032331938E-2</c:v>
                </c:pt>
                <c:pt idx="3">
                  <c:v>0.13835544930203067</c:v>
                </c:pt>
                <c:pt idx="4">
                  <c:v>1.9607843137254909E-2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B1-441B-A3E8-2BF4EDED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931714785651319"/>
          <c:y val="9.7220034995625551E-2"/>
          <c:w val="0.46025437445319323"/>
          <c:h val="0.740742927967337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26769820542043"/>
          <c:y val="3.4872541740438245E-2"/>
          <c:w val="0.82058750317912976"/>
          <c:h val="0.94549270280104458"/>
        </c:manualLayout>
      </c:layout>
      <c:lineChart>
        <c:grouping val="standard"/>
        <c:varyColors val="0"/>
        <c:ser>
          <c:idx val="0"/>
          <c:order val="0"/>
          <c:spPr>
            <a:ln w="63500">
              <a:gradFill flip="none" rotWithShape="1">
                <a:gsLst>
                  <a:gs pos="0">
                    <a:srgbClr val="FF0000"/>
                  </a:gs>
                  <a:gs pos="48000">
                    <a:schemeClr val="accent3">
                      <a:lumMod val="75000"/>
                    </a:schemeClr>
                  </a:gs>
                  <a:gs pos="100000">
                    <a:srgbClr val="00B050"/>
                  </a:gs>
                </a:gsLst>
                <a:lin ang="16200000" scaled="1"/>
                <a:tileRect/>
              </a:gradFill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6072000537589493E-2"/>
                  <c:y val="-7.9484012322900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1F-4B07-B96F-A96AE6767482}"/>
                </c:ext>
              </c:extLst>
            </c:dLbl>
            <c:dLbl>
              <c:idx val="27"/>
              <c:layout>
                <c:manualLayout>
                  <c:x val="-7.0716802365393516E-2"/>
                  <c:y val="5.404912837957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1F-4B07-B96F-A96AE6767482}"/>
                </c:ext>
              </c:extLst>
            </c:dLbl>
            <c:dLbl>
              <c:idx val="40"/>
              <c:layout>
                <c:manualLayout>
                  <c:x val="-4.178720139773253E-2"/>
                  <c:y val="0.10491889626622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F-4B07-B96F-A96AE6767482}"/>
                </c:ext>
              </c:extLst>
            </c:dLbl>
            <c:dLbl>
              <c:idx val="60"/>
              <c:layout>
                <c:manualLayout>
                  <c:x val="4.8216001612768414E-3"/>
                  <c:y val="1.9076162957496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1F-4B07-B96F-A96AE6767482}"/>
                </c:ext>
              </c:extLst>
            </c:dLbl>
            <c:dLbl>
              <c:idx val="81"/>
              <c:layout>
                <c:manualLayout>
                  <c:x val="9.643200322553518E-3"/>
                  <c:y val="2.91438011800530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1F-4B07-B96F-A96AE6767482}"/>
                </c:ext>
              </c:extLst>
            </c:dLbl>
            <c:dLbl>
              <c:idx val="95"/>
              <c:layout>
                <c:manualLayout>
                  <c:x val="-2.5715200860143096E-2"/>
                  <c:y val="-4.7690407393740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57-448C-9F04-6F6757153653}"/>
                </c:ext>
              </c:extLst>
            </c:dLbl>
            <c:dLbl>
              <c:idx val="107"/>
              <c:layout>
                <c:manualLayout>
                  <c:x val="-9.6432003225536637E-3"/>
                  <c:y val="-2.543488394332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1F-4B07-B96F-A96AE6767482}"/>
                </c:ext>
              </c:extLst>
            </c:dLbl>
            <c:dLbl>
              <c:idx val="1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78-4606-9709-F3C5C25633CE}"/>
                </c:ext>
              </c:extLst>
            </c:dLbl>
            <c:dLbl>
              <c:idx val="1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C2-4BDD-992B-7E3EF680FD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ДДС!$AA$3:$ED$3</c:f>
              <c:numCache>
                <c:formatCode>mmm\-yy</c:formatCode>
                <c:ptCount val="108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45869</c:v>
                </c:pt>
                <c:pt idx="19">
                  <c:v>45900</c:v>
                </c:pt>
                <c:pt idx="20">
                  <c:v>45930</c:v>
                </c:pt>
                <c:pt idx="21">
                  <c:v>45961</c:v>
                </c:pt>
                <c:pt idx="22">
                  <c:v>45991</c:v>
                </c:pt>
                <c:pt idx="23">
                  <c:v>46022</c:v>
                </c:pt>
                <c:pt idx="24">
                  <c:v>46053</c:v>
                </c:pt>
                <c:pt idx="25">
                  <c:v>46081</c:v>
                </c:pt>
                <c:pt idx="26">
                  <c:v>46112</c:v>
                </c:pt>
                <c:pt idx="27">
                  <c:v>46142</c:v>
                </c:pt>
                <c:pt idx="28">
                  <c:v>46173</c:v>
                </c:pt>
                <c:pt idx="29">
                  <c:v>46203</c:v>
                </c:pt>
                <c:pt idx="30">
                  <c:v>46234</c:v>
                </c:pt>
                <c:pt idx="31">
                  <c:v>46265</c:v>
                </c:pt>
                <c:pt idx="32">
                  <c:v>46295</c:v>
                </c:pt>
                <c:pt idx="33">
                  <c:v>46326</c:v>
                </c:pt>
                <c:pt idx="34">
                  <c:v>46356</c:v>
                </c:pt>
                <c:pt idx="35">
                  <c:v>46387</c:v>
                </c:pt>
                <c:pt idx="36">
                  <c:v>46418</c:v>
                </c:pt>
                <c:pt idx="37">
                  <c:v>46446</c:v>
                </c:pt>
                <c:pt idx="38">
                  <c:v>46477</c:v>
                </c:pt>
                <c:pt idx="39">
                  <c:v>46507</c:v>
                </c:pt>
                <c:pt idx="40">
                  <c:v>46538</c:v>
                </c:pt>
                <c:pt idx="41">
                  <c:v>46568</c:v>
                </c:pt>
                <c:pt idx="42">
                  <c:v>46599</c:v>
                </c:pt>
                <c:pt idx="43">
                  <c:v>46630</c:v>
                </c:pt>
                <c:pt idx="44">
                  <c:v>46660</c:v>
                </c:pt>
                <c:pt idx="45">
                  <c:v>46691</c:v>
                </c:pt>
                <c:pt idx="46">
                  <c:v>46721</c:v>
                </c:pt>
                <c:pt idx="47">
                  <c:v>46752</c:v>
                </c:pt>
                <c:pt idx="48">
                  <c:v>46783</c:v>
                </c:pt>
                <c:pt idx="49">
                  <c:v>46812</c:v>
                </c:pt>
                <c:pt idx="50">
                  <c:v>46843</c:v>
                </c:pt>
                <c:pt idx="51">
                  <c:v>46873</c:v>
                </c:pt>
                <c:pt idx="52">
                  <c:v>46904</c:v>
                </c:pt>
                <c:pt idx="53">
                  <c:v>46934</c:v>
                </c:pt>
                <c:pt idx="54">
                  <c:v>46965</c:v>
                </c:pt>
                <c:pt idx="55">
                  <c:v>46996</c:v>
                </c:pt>
                <c:pt idx="56">
                  <c:v>47026</c:v>
                </c:pt>
                <c:pt idx="57">
                  <c:v>47057</c:v>
                </c:pt>
                <c:pt idx="58">
                  <c:v>47087</c:v>
                </c:pt>
                <c:pt idx="59">
                  <c:v>47118</c:v>
                </c:pt>
                <c:pt idx="60">
                  <c:v>47149</c:v>
                </c:pt>
                <c:pt idx="61">
                  <c:v>47177</c:v>
                </c:pt>
                <c:pt idx="62">
                  <c:v>47208</c:v>
                </c:pt>
                <c:pt idx="63">
                  <c:v>47238</c:v>
                </c:pt>
                <c:pt idx="64">
                  <c:v>47269</c:v>
                </c:pt>
                <c:pt idx="65">
                  <c:v>47299</c:v>
                </c:pt>
                <c:pt idx="66">
                  <c:v>47330</c:v>
                </c:pt>
                <c:pt idx="67">
                  <c:v>47361</c:v>
                </c:pt>
                <c:pt idx="68">
                  <c:v>47391</c:v>
                </c:pt>
                <c:pt idx="69">
                  <c:v>47422</c:v>
                </c:pt>
                <c:pt idx="70">
                  <c:v>47452</c:v>
                </c:pt>
                <c:pt idx="71">
                  <c:v>47483</c:v>
                </c:pt>
                <c:pt idx="72">
                  <c:v>47514</c:v>
                </c:pt>
                <c:pt idx="73">
                  <c:v>47542</c:v>
                </c:pt>
                <c:pt idx="74">
                  <c:v>47573</c:v>
                </c:pt>
                <c:pt idx="75">
                  <c:v>47603</c:v>
                </c:pt>
                <c:pt idx="76">
                  <c:v>47634</c:v>
                </c:pt>
                <c:pt idx="77">
                  <c:v>47664</c:v>
                </c:pt>
                <c:pt idx="78">
                  <c:v>47695</c:v>
                </c:pt>
                <c:pt idx="79">
                  <c:v>47726</c:v>
                </c:pt>
                <c:pt idx="80">
                  <c:v>47756</c:v>
                </c:pt>
                <c:pt idx="81">
                  <c:v>47787</c:v>
                </c:pt>
                <c:pt idx="82">
                  <c:v>47817</c:v>
                </c:pt>
                <c:pt idx="83">
                  <c:v>47848</c:v>
                </c:pt>
                <c:pt idx="84">
                  <c:v>47879</c:v>
                </c:pt>
                <c:pt idx="85">
                  <c:v>47907</c:v>
                </c:pt>
                <c:pt idx="86">
                  <c:v>47938</c:v>
                </c:pt>
                <c:pt idx="87">
                  <c:v>47968</c:v>
                </c:pt>
                <c:pt idx="88">
                  <c:v>47999</c:v>
                </c:pt>
                <c:pt idx="89">
                  <c:v>48029</c:v>
                </c:pt>
                <c:pt idx="90">
                  <c:v>48060</c:v>
                </c:pt>
                <c:pt idx="91">
                  <c:v>48091</c:v>
                </c:pt>
                <c:pt idx="92">
                  <c:v>48121</c:v>
                </c:pt>
                <c:pt idx="93">
                  <c:v>48152</c:v>
                </c:pt>
                <c:pt idx="94">
                  <c:v>48182</c:v>
                </c:pt>
                <c:pt idx="95">
                  <c:v>48213</c:v>
                </c:pt>
                <c:pt idx="96">
                  <c:v>48244</c:v>
                </c:pt>
                <c:pt idx="97">
                  <c:v>48273</c:v>
                </c:pt>
                <c:pt idx="98">
                  <c:v>48304</c:v>
                </c:pt>
                <c:pt idx="99">
                  <c:v>48334</c:v>
                </c:pt>
                <c:pt idx="100">
                  <c:v>48365</c:v>
                </c:pt>
                <c:pt idx="101">
                  <c:v>48395</c:v>
                </c:pt>
                <c:pt idx="102">
                  <c:v>48426</c:v>
                </c:pt>
                <c:pt idx="103">
                  <c:v>48457</c:v>
                </c:pt>
                <c:pt idx="104">
                  <c:v>48487</c:v>
                </c:pt>
                <c:pt idx="105">
                  <c:v>48518</c:v>
                </c:pt>
                <c:pt idx="106">
                  <c:v>48548</c:v>
                </c:pt>
                <c:pt idx="107">
                  <c:v>48579</c:v>
                </c:pt>
              </c:numCache>
            </c:numRef>
          </c:cat>
          <c:val>
            <c:numRef>
              <c:f>ДДС!$AA$36:$ED$36</c:f>
              <c:numCache>
                <c:formatCode>#,##0</c:formatCode>
                <c:ptCount val="108"/>
                <c:pt idx="0">
                  <c:v>-187385.95941263114</c:v>
                </c:pt>
                <c:pt idx="1">
                  <c:v>-194562.66899572354</c:v>
                </c:pt>
                <c:pt idx="2">
                  <c:v>-219912.33339480887</c:v>
                </c:pt>
                <c:pt idx="3">
                  <c:v>-215579.86926695018</c:v>
                </c:pt>
                <c:pt idx="4">
                  <c:v>-212710.38668823685</c:v>
                </c:pt>
                <c:pt idx="5">
                  <c:v>-215163.88157353763</c:v>
                </c:pt>
                <c:pt idx="6">
                  <c:v>-214620.26383470217</c:v>
                </c:pt>
                <c:pt idx="7">
                  <c:v>-209288.19974724753</c:v>
                </c:pt>
                <c:pt idx="8">
                  <c:v>-198540.86720083677</c:v>
                </c:pt>
                <c:pt idx="9">
                  <c:v>-183402.00226093092</c:v>
                </c:pt>
                <c:pt idx="10">
                  <c:v>-158923.58986057658</c:v>
                </c:pt>
                <c:pt idx="11">
                  <c:v>-163810.30403259263</c:v>
                </c:pt>
                <c:pt idx="12">
                  <c:v>-173530.79655259769</c:v>
                </c:pt>
                <c:pt idx="13">
                  <c:v>-179353.99079424972</c:v>
                </c:pt>
                <c:pt idx="14">
                  <c:v>-178513.12194740557</c:v>
                </c:pt>
                <c:pt idx="15">
                  <c:v>-171898.90346008979</c:v>
                </c:pt>
                <c:pt idx="16">
                  <c:v>-166254.90139837304</c:v>
                </c:pt>
                <c:pt idx="17">
                  <c:v>-165475.88004975466</c:v>
                </c:pt>
                <c:pt idx="18">
                  <c:v>-160948.41125305864</c:v>
                </c:pt>
                <c:pt idx="19">
                  <c:v>-150403.89343135615</c:v>
                </c:pt>
                <c:pt idx="20">
                  <c:v>-133032.88565061474</c:v>
                </c:pt>
                <c:pt idx="21">
                  <c:v>-112803.97280870622</c:v>
                </c:pt>
                <c:pt idx="22">
                  <c:v>-86165.64251479099</c:v>
                </c:pt>
                <c:pt idx="23">
                  <c:v>-91385.528546514775</c:v>
                </c:pt>
                <c:pt idx="24">
                  <c:v>-100798.87755778292</c:v>
                </c:pt>
                <c:pt idx="25">
                  <c:v>-106289.08005302391</c:v>
                </c:pt>
                <c:pt idx="26">
                  <c:v>-105234.20313654674</c:v>
                </c:pt>
                <c:pt idx="27">
                  <c:v>-100189.50283786816</c:v>
                </c:pt>
                <c:pt idx="28">
                  <c:v>-95952.890836719846</c:v>
                </c:pt>
                <c:pt idx="29">
                  <c:v>-96047.180629930808</c:v>
                </c:pt>
                <c:pt idx="30">
                  <c:v>-92997.044636477745</c:v>
                </c:pt>
                <c:pt idx="31">
                  <c:v>-84899.003999990746</c:v>
                </c:pt>
                <c:pt idx="32">
                  <c:v>-71080.244989409519</c:v>
                </c:pt>
                <c:pt idx="33">
                  <c:v>-52643.406682636312</c:v>
                </c:pt>
                <c:pt idx="34">
                  <c:v>-25497.786208276117</c:v>
                </c:pt>
                <c:pt idx="35">
                  <c:v>-30380.657837163773</c:v>
                </c:pt>
                <c:pt idx="36">
                  <c:v>-39637.487995641815</c:v>
                </c:pt>
                <c:pt idx="37">
                  <c:v>-44946.558050590356</c:v>
                </c:pt>
                <c:pt idx="38">
                  <c:v>-43801.32702154509</c:v>
                </c:pt>
                <c:pt idx="39">
                  <c:v>-38543.057240118629</c:v>
                </c:pt>
                <c:pt idx="40">
                  <c:v>-34096.687155572377</c:v>
                </c:pt>
                <c:pt idx="41">
                  <c:v>-26535.259802350225</c:v>
                </c:pt>
                <c:pt idx="42">
                  <c:v>-15779.530954505737</c:v>
                </c:pt>
                <c:pt idx="43">
                  <c:v>52.606990316033261</c:v>
                </c:pt>
                <c:pt idx="44">
                  <c:v>21640.628745973423</c:v>
                </c:pt>
                <c:pt idx="45">
                  <c:v>47866.99830503561</c:v>
                </c:pt>
                <c:pt idx="46">
                  <c:v>75529.597869748672</c:v>
                </c:pt>
                <c:pt idx="47">
                  <c:v>70981.308927171165</c:v>
                </c:pt>
                <c:pt idx="48">
                  <c:v>61467.156749351503</c:v>
                </c:pt>
                <c:pt idx="49">
                  <c:v>55923.290327906703</c:v>
                </c:pt>
                <c:pt idx="50">
                  <c:v>57013.136850446448</c:v>
                </c:pt>
                <c:pt idx="51">
                  <c:v>62145.710551428703</c:v>
                </c:pt>
                <c:pt idx="52">
                  <c:v>66462.483686673906</c:v>
                </c:pt>
                <c:pt idx="53">
                  <c:v>73915.437121668743</c:v>
                </c:pt>
                <c:pt idx="54">
                  <c:v>84577.386885348475</c:v>
                </c:pt>
                <c:pt idx="55">
                  <c:v>100344.21912395589</c:v>
                </c:pt>
                <c:pt idx="56">
                  <c:v>121902.52359022066</c:v>
                </c:pt>
                <c:pt idx="57">
                  <c:v>148121.85417180532</c:v>
                </c:pt>
                <c:pt idx="58">
                  <c:v>175785.86182533286</c:v>
                </c:pt>
                <c:pt idx="59">
                  <c:v>171053.32909646785</c:v>
                </c:pt>
                <c:pt idx="60">
                  <c:v>161269.06236025109</c:v>
                </c:pt>
                <c:pt idx="61">
                  <c:v>155469.57947556896</c:v>
                </c:pt>
                <c:pt idx="62">
                  <c:v>156500.77877572089</c:v>
                </c:pt>
                <c:pt idx="63">
                  <c:v>161487.12153731624</c:v>
                </c:pt>
                <c:pt idx="64">
                  <c:v>165633.29991588253</c:v>
                </c:pt>
                <c:pt idx="65">
                  <c:v>172950.4247921934</c:v>
                </c:pt>
                <c:pt idx="66">
                  <c:v>183481.94600352511</c:v>
                </c:pt>
                <c:pt idx="67">
                  <c:v>199136.45640034875</c:v>
                </c:pt>
                <c:pt idx="68">
                  <c:v>220607.17482395095</c:v>
                </c:pt>
                <c:pt idx="69">
                  <c:v>246751.73449511829</c:v>
                </c:pt>
                <c:pt idx="70">
                  <c:v>274340.95088305249</c:v>
                </c:pt>
                <c:pt idx="71">
                  <c:v>269305.53408331989</c:v>
                </c:pt>
                <c:pt idx="72">
                  <c:v>259167.2213873835</c:v>
                </c:pt>
                <c:pt idx="73">
                  <c:v>253031.16244246697</c:v>
                </c:pt>
                <c:pt idx="74">
                  <c:v>253759.11110575453</c:v>
                </c:pt>
                <c:pt idx="75">
                  <c:v>258722.83298823982</c:v>
                </c:pt>
                <c:pt idx="76">
                  <c:v>262629.92731223494</c:v>
                </c:pt>
                <c:pt idx="77">
                  <c:v>269725.2362349371</c:v>
                </c:pt>
                <c:pt idx="78">
                  <c:v>280045.63346543885</c:v>
                </c:pt>
                <c:pt idx="79">
                  <c:v>295511.30750368664</c:v>
                </c:pt>
                <c:pt idx="80">
                  <c:v>316821.56093039725</c:v>
                </c:pt>
                <c:pt idx="81">
                  <c:v>342822.97360712022</c:v>
                </c:pt>
                <c:pt idx="82">
                  <c:v>370274.79673905962</c:v>
                </c:pt>
                <c:pt idx="83">
                  <c:v>364905.09255342977</c:v>
                </c:pt>
                <c:pt idx="84">
                  <c:v>354375.68511799839</c:v>
                </c:pt>
                <c:pt idx="85">
                  <c:v>347864.37338035251</c:v>
                </c:pt>
                <c:pt idx="86">
                  <c:v>348247.31206676125</c:v>
                </c:pt>
                <c:pt idx="87">
                  <c:v>353159.26256416237</c:v>
                </c:pt>
                <c:pt idx="88">
                  <c:v>356787.44771916408</c:v>
                </c:pt>
                <c:pt idx="89">
                  <c:v>363619.69420863694</c:v>
                </c:pt>
                <c:pt idx="90">
                  <c:v>373686.59621707379</c:v>
                </c:pt>
                <c:pt idx="91">
                  <c:v>388918.90471698338</c:v>
                </c:pt>
                <c:pt idx="92">
                  <c:v>410021.51841122919</c:v>
                </c:pt>
                <c:pt idx="93">
                  <c:v>435830.82822699926</c:v>
                </c:pt>
                <c:pt idx="94">
                  <c:v>463095.78575161734</c:v>
                </c:pt>
                <c:pt idx="95">
                  <c:v>457354.10279901914</c:v>
                </c:pt>
                <c:pt idx="96">
                  <c:v>446398.8077396382</c:v>
                </c:pt>
                <c:pt idx="97">
                  <c:v>439475.87140552344</c:v>
                </c:pt>
                <c:pt idx="98">
                  <c:v>439474.44969486393</c:v>
                </c:pt>
                <c:pt idx="99">
                  <c:v>444308.22137493669</c:v>
                </c:pt>
                <c:pt idx="100">
                  <c:v>447620.1529394142</c:v>
                </c:pt>
                <c:pt idx="101">
                  <c:v>454126.77785156335</c:v>
                </c:pt>
                <c:pt idx="102">
                  <c:v>463878.75688347709</c:v>
                </c:pt>
                <c:pt idx="103">
                  <c:v>478816.39775600436</c:v>
                </c:pt>
                <c:pt idx="104">
                  <c:v>499649.71583634883</c:v>
                </c:pt>
                <c:pt idx="105">
                  <c:v>525205.72790789139</c:v>
                </c:pt>
                <c:pt idx="106">
                  <c:v>552224.29686013411</c:v>
                </c:pt>
                <c:pt idx="107">
                  <c:v>546064.48220819805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ДДС!#REF!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5F1F-4B07-B96F-A96AE6767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562944"/>
        <c:axId val="92564480"/>
      </c:lineChart>
      <c:dateAx>
        <c:axId val="92562944"/>
        <c:scaling>
          <c:orientation val="minMax"/>
          <c:max val="48580"/>
        </c:scaling>
        <c:delete val="0"/>
        <c:axPos val="b"/>
        <c:numFmt formatCode="mmm\/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92564480"/>
        <c:crosses val="autoZero"/>
        <c:auto val="0"/>
        <c:lblOffset val="100"/>
        <c:baseTimeUnit val="months"/>
        <c:majorUnit val="12"/>
        <c:majorTimeUnit val="months"/>
      </c:dateAx>
      <c:valAx>
        <c:axId val="92564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NPV, </a:t>
                </a:r>
                <a:r>
                  <a:rPr lang="ru-RU"/>
                  <a:t>тыс.</a:t>
                </a:r>
                <a:r>
                  <a:rPr lang="ru-RU" baseline="0"/>
                  <a:t> </a:t>
                </a:r>
                <a:r>
                  <a:rPr lang="ru-RU"/>
                  <a:t>руб.</a:t>
                </a:r>
              </a:p>
              <a:p>
                <a:pPr>
                  <a:defRPr/>
                </a:pPr>
                <a:endParaRPr lang="ru-RU"/>
              </a:p>
            </c:rich>
          </c:tx>
          <c:layout>
            <c:manualLayout>
              <c:xMode val="edge"/>
              <c:yMode val="edge"/>
              <c:x val="9.0193497892535491E-3"/>
              <c:y val="0.3312883452461553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92562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Tahoma"/>
          <a:cs typeface="Tahoma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3048376408222"/>
          <c:y val="4.2792792792792834E-2"/>
          <c:w val="0.87276342389572992"/>
          <c:h val="0.81981981981982377"/>
        </c:manualLayout>
      </c:layout>
      <c:lineChart>
        <c:grouping val="stacked"/>
        <c:varyColors val="0"/>
        <c:ser>
          <c:idx val="0"/>
          <c:order val="0"/>
          <c:tx>
            <c:v>Выручка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6175705687372051E-2"/>
                  <c:y val="-5.4501191485552887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7F-4D44-A6EF-A8D72212A268}"/>
                </c:ext>
              </c:extLst>
            </c:dLbl>
            <c:dLbl>
              <c:idx val="1"/>
              <c:layout>
                <c:manualLayout>
                  <c:x val="-2.0671831821355523E-2"/>
                  <c:y val="-5.8394133734521549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7F-4D44-A6EF-A8D72212A268}"/>
                </c:ext>
              </c:extLst>
            </c:dLbl>
            <c:dLbl>
              <c:idx val="2"/>
              <c:layout>
                <c:manualLayout>
                  <c:x val="-3.4453053035592039E-3"/>
                  <c:y val="-5.8394133734520993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7F-4D44-A6EF-A8D72212A268}"/>
                </c:ext>
              </c:extLst>
            </c:dLbl>
            <c:dLbl>
              <c:idx val="3"/>
              <c:layout>
                <c:manualLayout>
                  <c:x val="1.7226526517795486E-3"/>
                  <c:y val="-5.8394133734520993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7F-4D44-A6EF-A8D72212A268}"/>
                </c:ext>
              </c:extLst>
            </c:dLbl>
            <c:dLbl>
              <c:idx val="4"/>
              <c:layout>
                <c:manualLayout>
                  <c:x val="0"/>
                  <c:y val="2.3357653493808379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7F-4D44-A6EF-A8D72212A268}"/>
                </c:ext>
              </c:extLst>
            </c:dLbl>
            <c:dLbl>
              <c:idx val="5"/>
              <c:layout>
                <c:manualLayout>
                  <c:x val="3.4453053035592039E-3"/>
                  <c:y val="2.725059574277645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7F-4D44-A6EF-A8D72212A268}"/>
                </c:ext>
              </c:extLst>
            </c:dLbl>
            <c:dLbl>
              <c:idx val="6"/>
              <c:layout>
                <c:manualLayout>
                  <c:x val="6.8906106071184078E-3"/>
                  <c:y val="3.1143537991744512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7F-4D44-A6EF-A8D72212A268}"/>
                </c:ext>
              </c:extLst>
            </c:dLbl>
            <c:dLbl>
              <c:idx val="7"/>
              <c:layout>
                <c:manualLayout>
                  <c:x val="1.0335915910677611E-2"/>
                  <c:y val="3.5036480240712577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7F-4D44-A6EF-A8D72212A268}"/>
                </c:ext>
              </c:extLst>
            </c:dLbl>
            <c:dLbl>
              <c:idx val="8"/>
              <c:layout>
                <c:manualLayout>
                  <c:x val="0"/>
                  <c:y val="3.1143537991744512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7F-4D44-A6EF-A8D72212A26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'Точка безубыточности'!$B$2:$J$2</c:f>
              <c:numCache>
                <c:formatCode>#,##0</c:formatCode>
                <c:ptCount val="9"/>
                <c:pt idx="0">
                  <c:v>0</c:v>
                </c:pt>
                <c:pt idx="1">
                  <c:v>70876.666704086572</c:v>
                </c:pt>
                <c:pt idx="2">
                  <c:v>141753.33340817314</c:v>
                </c:pt>
                <c:pt idx="3">
                  <c:v>212630.00011225973</c:v>
                </c:pt>
                <c:pt idx="4">
                  <c:v>283506.66681634629</c:v>
                </c:pt>
                <c:pt idx="5">
                  <c:v>354383.33352043288</c:v>
                </c:pt>
                <c:pt idx="6">
                  <c:v>425260.00022451952</c:v>
                </c:pt>
                <c:pt idx="7">
                  <c:v>496136.66692860611</c:v>
                </c:pt>
                <c:pt idx="8">
                  <c:v>567013.33363269269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D44-A6EF-A8D72212A268}"/>
            </c:ext>
          </c:extLst>
        </c:ser>
        <c:ser>
          <c:idx val="1"/>
          <c:order val="1"/>
          <c:tx>
            <c:strRef>
              <c:f>'Точка безубыточности'!$A$6</c:f>
              <c:strCache>
                <c:ptCount val="1"/>
                <c:pt idx="0">
                  <c:v>Прибыль</c:v>
                </c:pt>
              </c:strCache>
            </c:strRef>
          </c:tx>
          <c:spPr>
            <a:ln w="47625">
              <a:gradFill flip="none" rotWithShape="1">
                <a:gsLst>
                  <a:gs pos="0">
                    <a:srgbClr val="C00000"/>
                  </a:gs>
                  <a:gs pos="100000">
                    <a:srgbClr val="00B050"/>
                  </a:gs>
                </a:gsLst>
                <a:lin ang="18900000" scaled="1"/>
                <a:tileRect/>
              </a:gradFill>
            </a:ln>
          </c:spPr>
          <c:marker>
            <c:symbol val="none"/>
          </c:marker>
          <c:val>
            <c:numRef>
              <c:f>'Точка безубыточности'!$B$6:$J$6</c:f>
              <c:numCache>
                <c:formatCode>#,##0</c:formatCode>
                <c:ptCount val="9"/>
                <c:pt idx="0">
                  <c:v>-149608.61496000001</c:v>
                </c:pt>
                <c:pt idx="1">
                  <c:v>-112206.49279318868</c:v>
                </c:pt>
                <c:pt idx="2">
                  <c:v>-74804.370626377349</c:v>
                </c:pt>
                <c:pt idx="3">
                  <c:v>-37402.248459566006</c:v>
                </c:pt>
                <c:pt idx="4">
                  <c:v>-0.12629275472136214</c:v>
                </c:pt>
                <c:pt idx="5">
                  <c:v>37401.995874056651</c:v>
                </c:pt>
                <c:pt idx="6">
                  <c:v>74804.118040868023</c:v>
                </c:pt>
                <c:pt idx="7">
                  <c:v>112206.24020767934</c:v>
                </c:pt>
                <c:pt idx="8">
                  <c:v>149608.36237449071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7F-4D44-A6EF-A8D72212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31104"/>
        <c:axId val="92845184"/>
      </c:lineChart>
      <c:catAx>
        <c:axId val="92831104"/>
        <c:scaling>
          <c:orientation val="minMax"/>
        </c:scaling>
        <c:delete val="1"/>
        <c:axPos val="b"/>
        <c:majorTickMark val="out"/>
        <c:minorTickMark val="none"/>
        <c:tickLblPos val="none"/>
        <c:crossAx val="92845184"/>
        <c:crosses val="autoZero"/>
        <c:auto val="1"/>
        <c:lblAlgn val="ctr"/>
        <c:lblOffset val="100"/>
        <c:noMultiLvlLbl val="0"/>
      </c:catAx>
      <c:valAx>
        <c:axId val="92845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9283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769396742902244"/>
          <c:y val="0.91216334444680858"/>
          <c:w val="0.57952312372484249"/>
          <c:h val="7.6576576576576572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Tahoma"/>
          <a:cs typeface="Tahoma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49571452894142E-2"/>
          <c:y val="2.5751072961373696E-2"/>
          <c:w val="0.74442538918211254"/>
          <c:h val="0.86838340486409171"/>
        </c:manualLayout>
      </c:layout>
      <c:lineChart>
        <c:grouping val="standard"/>
        <c:varyColors val="0"/>
        <c:ser>
          <c:idx val="0"/>
          <c:order val="0"/>
          <c:tx>
            <c:v>постоянные издержки</c:v>
          </c:tx>
          <c:spPr>
            <a:ln w="38100"/>
          </c:spPr>
          <c:marker>
            <c:symbol val="none"/>
          </c:marker>
          <c:cat>
            <c:numRef>
              <c:f>'Анализ безубыточности'!$C$5:$C$21</c:f>
              <c:numCache>
                <c:formatCode>General</c:formatCode>
                <c:ptCount val="17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</c:numCache>
            </c:numRef>
          </c:cat>
          <c:val>
            <c:numRef>
              <c:f>'Анализ безубыточности'!$D$5:$D$21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E-4243-A0D8-D288A3030DE7}"/>
            </c:ext>
          </c:extLst>
        </c:ser>
        <c:ser>
          <c:idx val="1"/>
          <c:order val="1"/>
          <c:tx>
            <c:v>прямые издержки</c:v>
          </c:tx>
          <c:spPr>
            <a:ln w="381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numRef>
              <c:f>'Анализ безубыточности'!$C$5:$C$21</c:f>
              <c:numCache>
                <c:formatCode>General</c:formatCode>
                <c:ptCount val="17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</c:numCache>
            </c:numRef>
          </c:cat>
          <c:val>
            <c:numRef>
              <c:f>'Анализ безубыточности'!$E$5:$E$21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E-4243-A0D8-D288A3030DE7}"/>
            </c:ext>
          </c:extLst>
        </c:ser>
        <c:ser>
          <c:idx val="2"/>
          <c:order val="2"/>
          <c:tx>
            <c:v>доходы</c:v>
          </c:tx>
          <c:spPr>
            <a:ln w="38100"/>
          </c:spPr>
          <c:marker>
            <c:symbol val="none"/>
          </c:marker>
          <c:cat>
            <c:numRef>
              <c:f>'Анализ безубыточности'!$C$5:$C$21</c:f>
              <c:numCache>
                <c:formatCode>General</c:formatCode>
                <c:ptCount val="17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</c:numCache>
            </c:numRef>
          </c:cat>
          <c:val>
            <c:numRef>
              <c:f>'Анализ безубыточности'!$F$5:$F$21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AE-4243-A0D8-D288A3030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89760"/>
        <c:axId val="92857472"/>
      </c:lineChart>
      <c:catAx>
        <c:axId val="927897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Объемы сбыта, тыс. тонн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92857472"/>
        <c:crosses val="autoZero"/>
        <c:auto val="1"/>
        <c:lblAlgn val="ctr"/>
        <c:lblOffset val="100"/>
        <c:noMultiLvlLbl val="0"/>
      </c:catAx>
      <c:valAx>
        <c:axId val="9285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Сумма доходов / расходов, тыс. руб.</a:t>
                </a:r>
              </a:p>
            </c:rich>
          </c:tx>
          <c:layout>
            <c:manualLayout>
              <c:xMode val="edge"/>
              <c:yMode val="edge"/>
              <c:x val="1.7864426466417425E-2"/>
              <c:y val="0.132828863130306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92789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9245305528918658"/>
          <c:y val="0.95135983538538882"/>
          <c:w val="0.40994887967477872"/>
          <c:h val="3.4334763948497875E-2"/>
        </c:manualLayout>
      </c:layout>
      <c:overlay val="0"/>
      <c:txPr>
        <a:bodyPr/>
        <a:lstStyle/>
        <a:p>
          <a:pPr>
            <a:defRPr sz="29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112058</xdr:colOff>
      <xdr:row>18</xdr:row>
      <xdr:rowOff>822960</xdr:rowOff>
    </xdr:from>
    <xdr:to>
      <xdr:col>10</xdr:col>
      <xdr:colOff>81279</xdr:colOff>
      <xdr:row>18</xdr:row>
      <xdr:rowOff>2913529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25418" y="4460240"/>
          <a:ext cx="5679141" cy="2090569"/>
        </a:xfrm>
        <a:prstGeom prst="rect">
          <a:avLst/>
        </a:prstGeom>
        <a:ln>
          <a:solidFill>
            <a:schemeClr val="accent4">
              <a:lumMod val="20000"/>
              <a:lumOff val="8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ru-RU" sz="2200" b="1">
              <a:solidFill>
                <a:schemeClr val="accent4">
                  <a:lumMod val="75000"/>
                </a:schemeClr>
              </a:solidFill>
            </a:rPr>
            <a:t>Финансовая модель: </a:t>
          </a:r>
        </a:p>
        <a:p>
          <a:pPr algn="l"/>
          <a:r>
            <a:rPr lang="ru-RU" sz="2200" b="1">
              <a:solidFill>
                <a:schemeClr val="bg1">
                  <a:lumMod val="50000"/>
                </a:schemeClr>
              </a:solidFill>
            </a:rPr>
            <a:t>Расширение производства металлоконструкций для навесных фасадных систем</a:t>
          </a:r>
          <a:endParaRPr lang="ru-RU" sz="2200" b="1" baseline="0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pPr algn="l"/>
          <a:endParaRPr lang="ru-RU" sz="2000" b="1" baseline="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lang="ru-RU" sz="1800" b="0" baseline="0">
              <a:solidFill>
                <a:schemeClr val="accent4">
                  <a:lumMod val="75000"/>
                </a:schemeClr>
              </a:solidFill>
            </a:rPr>
            <a:t>Разработан: </a:t>
          </a:r>
          <a:r>
            <a:rPr lang="ru-RU" sz="1800" b="0" baseline="0">
              <a:solidFill>
                <a:schemeClr val="bg1">
                  <a:lumMod val="50000"/>
                </a:schemeClr>
              </a:solidFill>
            </a:rPr>
            <a:t>май 2023 г.</a:t>
          </a:r>
          <a:endParaRPr lang="ru-RU" sz="18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10</xdr:col>
      <xdr:colOff>1056640</xdr:colOff>
      <xdr:row>7</xdr:row>
      <xdr:rowOff>20320</xdr:rowOff>
    </xdr:from>
    <xdr:to>
      <xdr:col>10</xdr:col>
      <xdr:colOff>6005830</xdr:colOff>
      <xdr:row>18</xdr:row>
      <xdr:rowOff>2465076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0" t="19570" r="52999" b="5697"/>
        <a:stretch>
          <a:fillRect/>
        </a:stretch>
      </xdr:blipFill>
      <xdr:spPr bwMode="auto">
        <a:xfrm>
          <a:off x="6979920" y="1422400"/>
          <a:ext cx="4949190" cy="4679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406400</xdr:colOff>
      <xdr:row>3</xdr:row>
      <xdr:rowOff>12700</xdr:rowOff>
    </xdr:from>
    <xdr:to>
      <xdr:col>9</xdr:col>
      <xdr:colOff>117865</xdr:colOff>
      <xdr:row>16</xdr:row>
      <xdr:rowOff>4069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22D31DC-9C64-49BD-8E1C-62FA3426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" y="609600"/>
          <a:ext cx="4639065" cy="2645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1120772</xdr:colOff>
      <xdr:row>33</xdr:row>
      <xdr:rowOff>38100</xdr:rowOff>
    </xdr:from>
    <xdr:to>
      <xdr:col>10</xdr:col>
      <xdr:colOff>457200</xdr:colOff>
      <xdr:row>65</xdr:row>
      <xdr:rowOff>161925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135</xdr:row>
      <xdr:rowOff>42862</xdr:rowOff>
    </xdr:from>
    <xdr:to>
      <xdr:col>2</xdr:col>
      <xdr:colOff>828675</xdr:colOff>
      <xdr:row>152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432434</xdr:colOff>
      <xdr:row>2</xdr:row>
      <xdr:rowOff>148860</xdr:rowOff>
    </xdr:from>
    <xdr:to>
      <xdr:col>18</xdr:col>
      <xdr:colOff>561975</xdr:colOff>
      <xdr:row>28</xdr:row>
      <xdr:rowOff>76200</xdr:rowOff>
    </xdr:to>
    <xdr:graphicFrame macro="">
      <xdr:nvGraphicFramePr>
        <xdr:cNvPr id="35140108" name="Диаграмма 1">
          <a:extLst>
            <a:ext uri="{FF2B5EF4-FFF2-40B4-BE49-F238E27FC236}">
              <a16:creationId xmlns:a16="http://schemas.microsoft.com/office/drawing/2014/main" id="{00000000-0008-0000-0C00-00000C32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425823</xdr:colOff>
      <xdr:row>0</xdr:row>
      <xdr:rowOff>155090</xdr:rowOff>
    </xdr:from>
    <xdr:to>
      <xdr:col>24</xdr:col>
      <xdr:colOff>502023</xdr:colOff>
      <xdr:row>18</xdr:row>
      <xdr:rowOff>44824</xdr:rowOff>
    </xdr:to>
    <xdr:graphicFrame macro="">
      <xdr:nvGraphicFramePr>
        <xdr:cNvPr id="34393748" name="Диаграмма 3">
          <a:extLst>
            <a:ext uri="{FF2B5EF4-FFF2-40B4-BE49-F238E27FC236}">
              <a16:creationId xmlns:a16="http://schemas.microsoft.com/office/drawing/2014/main" id="{00000000-0008-0000-0E00-000094CE0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525780</xdr:colOff>
      <xdr:row>3</xdr:row>
      <xdr:rowOff>38100</xdr:rowOff>
    </xdr:from>
    <xdr:to>
      <xdr:col>21</xdr:col>
      <xdr:colOff>38100</xdr:colOff>
      <xdr:row>30</xdr:row>
      <xdr:rowOff>15240</xdr:rowOff>
    </xdr:to>
    <xdr:graphicFrame macro="">
      <xdr:nvGraphicFramePr>
        <xdr:cNvPr id="35143180" name="Диаграмма 1">
          <a:extLst>
            <a:ext uri="{FF2B5EF4-FFF2-40B4-BE49-F238E27FC236}">
              <a16:creationId xmlns:a16="http://schemas.microsoft.com/office/drawing/2014/main" id="{00000000-0008-0000-0F00-00000C3E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53;&#1086;&#1074;&#1072;&#1103;%20&#1087;&#1072;&#1087;&#1082;&#1072;\&#1052;&#1045;&#1043;&#1040;\&#1096;&#1087;&#1072;&#1083;&#1099;\&#1050;&#1072;&#1088;&#1100;&#1077;&#1088;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Users\user123\Documents\&#1041;&#1055;%202012-2014\&#1041;&#1055;%20&#1058;&#1045;&#1050;&#1059;&#1065;&#1048;&#1045;\&#1041;&#1055;%20&#1057;&#1074;&#1077;&#1090;&#1086;&#1076;&#1080;&#1086;&#1076;&#1099;%20(&#1044;&#1048;&#1040;&#1051;&#1059;&#1063;)\&#1060;&#1080;&#1085;&#1072;&#1083;&#1100;&#1085;&#1072;&#1103;%20&#1074;&#1077;&#1088;&#1089;&#1080;&#1103;\&#1076;&#1080;&#1086;&#1076;&#1099;\&#1060;&#1052;%20-%20&#1089;&#1074;&#1077;&#1090;&#1086;&#1090;&#1077;&#1093;&#1085;&#1080;&#1082;&#1072;%20-%20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123\Documents\&#1041;&#1055;%202012-2014\&#1041;&#1055;%20&#1058;&#1045;&#1050;&#1059;&#1065;&#1048;&#1045;\&#1041;&#1055;%20&#1057;&#1074;&#1077;&#1090;&#1086;&#1076;&#1080;&#1086;&#1076;&#1099;%20(&#1044;&#1048;&#1040;&#1051;&#1059;&#1063;)\&#1060;&#1080;&#1085;&#1072;&#1083;&#1100;&#1085;&#1072;&#1103;%20&#1074;&#1077;&#1088;&#1089;&#1080;&#1103;\&#1076;&#1080;&#1086;&#1076;&#1099;\&#1060;&#1052;%20-%20&#1089;&#1074;&#1077;&#1090;&#1086;&#1090;&#1077;&#1093;&#1085;&#1080;&#1082;&#1072;%20-%20la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62;&#1080;&#1082;&#1083;&#1086;&#1085;\Downloads\&#1055;&#1086;&#1089;&#1083;&#1077;&#1076;&#1085;&#1103;&#1103;%20&#1092;&#1080;&#1085;&#1084;&#1086;&#1076;&#1077;&#1083;&#1100;%20&#1087;&#1086;%20&#1041;&#1086;&#1083;&#1100;&#1096;&#1086;&#1084;&#1091;%20&#1050;&#1072;&#1084;&#1085;&#110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Imput"/>
      <sheetName val="Imput 2"/>
      <sheetName val="Оборуд-ние"/>
      <sheetName val="ФОТ"/>
      <sheetName val="Model"/>
      <sheetName val="Model (2)"/>
      <sheetName val="Model (Ш)"/>
      <sheetName val="Model (К+П)"/>
      <sheetName val="Model (К)"/>
      <sheetName val="Колокольцево"/>
      <sheetName val="Шумское"/>
      <sheetName val="Финансирвание"/>
      <sheetName val="Анализ"/>
      <sheetName val="Структура себестоимости"/>
    </sheetNames>
    <sheetDataSet>
      <sheetData sheetId="0" refreshError="1"/>
      <sheetData sheetId="1" refreshError="1"/>
      <sheetData sheetId="2" refreshError="1">
        <row r="1">
          <cell r="N1">
            <v>1</v>
          </cell>
          <cell r="O1">
            <v>2</v>
          </cell>
          <cell r="P1">
            <v>3</v>
          </cell>
          <cell r="Q1">
            <v>4</v>
          </cell>
          <cell r="R1">
            <v>5</v>
          </cell>
          <cell r="S1">
            <v>6</v>
          </cell>
          <cell r="T1">
            <v>7</v>
          </cell>
          <cell r="U1">
            <v>8</v>
          </cell>
          <cell r="V1">
            <v>9</v>
          </cell>
          <cell r="W1">
            <v>10</v>
          </cell>
          <cell r="X1">
            <v>11</v>
          </cell>
          <cell r="Y1">
            <v>12</v>
          </cell>
        </row>
        <row r="11">
          <cell r="N11">
            <v>0.6</v>
          </cell>
          <cell r="O11">
            <v>0.7</v>
          </cell>
          <cell r="P11">
            <v>0.8</v>
          </cell>
          <cell r="Q11">
            <v>1.1000000000000001</v>
          </cell>
          <cell r="R11">
            <v>1.2</v>
          </cell>
          <cell r="S11">
            <v>1.2</v>
          </cell>
          <cell r="T11">
            <v>1.3</v>
          </cell>
          <cell r="U11">
            <v>1.3</v>
          </cell>
          <cell r="V11">
            <v>1.3</v>
          </cell>
          <cell r="W11">
            <v>1.1000000000000001</v>
          </cell>
          <cell r="X11">
            <v>0.8</v>
          </cell>
          <cell r="Y11">
            <v>0.6</v>
          </cell>
        </row>
        <row r="12">
          <cell r="N12">
            <v>0.5</v>
          </cell>
          <cell r="O12">
            <v>0.6</v>
          </cell>
          <cell r="P12">
            <v>0.8</v>
          </cell>
          <cell r="Q12">
            <v>1.1000000000000001</v>
          </cell>
          <cell r="R12">
            <v>1.2</v>
          </cell>
          <cell r="S12">
            <v>1.2</v>
          </cell>
          <cell r="T12">
            <v>1.3</v>
          </cell>
          <cell r="U12">
            <v>1.3</v>
          </cell>
          <cell r="V12">
            <v>1.3</v>
          </cell>
          <cell r="W12">
            <v>1.1000000000000001</v>
          </cell>
          <cell r="X12">
            <v>0.8</v>
          </cell>
          <cell r="Y12">
            <v>0.8</v>
          </cell>
        </row>
        <row r="13">
          <cell r="Q13">
            <v>0.9</v>
          </cell>
          <cell r="R13">
            <v>1</v>
          </cell>
          <cell r="S13">
            <v>1</v>
          </cell>
          <cell r="T13">
            <v>1.1000000000000001</v>
          </cell>
          <cell r="U13">
            <v>1.1000000000000001</v>
          </cell>
          <cell r="V13">
            <v>1</v>
          </cell>
          <cell r="W13">
            <v>1</v>
          </cell>
          <cell r="X13">
            <v>0.8</v>
          </cell>
          <cell r="Y13">
            <v>0.8</v>
          </cell>
        </row>
        <row r="105">
          <cell r="G105">
            <v>2015</v>
          </cell>
          <cell r="H105">
            <v>2016</v>
          </cell>
          <cell r="I105">
            <v>2017</v>
          </cell>
          <cell r="J105">
            <v>2018</v>
          </cell>
          <cell r="K105">
            <v>2019</v>
          </cell>
          <cell r="L105">
            <v>2020</v>
          </cell>
          <cell r="M105">
            <v>2021</v>
          </cell>
          <cell r="N105">
            <v>2022</v>
          </cell>
          <cell r="O105">
            <v>2023</v>
          </cell>
          <cell r="P105">
            <v>2024</v>
          </cell>
        </row>
        <row r="113">
          <cell r="G113">
            <v>200000</v>
          </cell>
          <cell r="H113">
            <v>500000</v>
          </cell>
          <cell r="I113">
            <v>500000</v>
          </cell>
          <cell r="J113">
            <v>500000</v>
          </cell>
          <cell r="K113">
            <v>500000</v>
          </cell>
          <cell r="L113">
            <v>500000</v>
          </cell>
          <cell r="M113">
            <v>500000</v>
          </cell>
          <cell r="N113">
            <v>500000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Календарный план"/>
      <sheetName val="Объем сбыта"/>
      <sheetName val="Затраты на сырье и материалы"/>
      <sheetName val="Персонал"/>
      <sheetName val="Общехозяйственные издержки"/>
      <sheetName val="Запасы сырья"/>
      <sheetName val="Доходы"/>
      <sheetName val="Кредит"/>
      <sheetName val="Аммортизация"/>
      <sheetName val="Cash-Flow"/>
      <sheetName val="P&amp;L"/>
      <sheetName val="Balance sheet"/>
      <sheetName val="Денежные потоки по мес."/>
      <sheetName val="Cash-Flow (0)"/>
      <sheetName val="P&amp;L (0)"/>
      <sheetName val="Дельта Cash-Flow"/>
      <sheetName val="Дельта P&amp;L"/>
      <sheetName val="Денежные потоки по годам"/>
      <sheetName val="NPV"/>
      <sheetName val="Анализ чувствительности"/>
    </sheetNames>
    <sheetDataSet>
      <sheetData sheetId="0">
        <row r="18">
          <cell r="D18">
            <v>0.18</v>
          </cell>
        </row>
        <row r="21">
          <cell r="D21">
            <v>0.2</v>
          </cell>
        </row>
        <row r="27">
          <cell r="D27">
            <v>5.5300000000000002E-2</v>
          </cell>
        </row>
        <row r="32">
          <cell r="D32">
            <v>10000</v>
          </cell>
        </row>
        <row r="33">
          <cell r="D33">
            <v>0.17499999999999999</v>
          </cell>
        </row>
        <row r="36">
          <cell r="D36">
            <v>30.187000000000001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A2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Календарный план"/>
      <sheetName val="Объем сбыта"/>
      <sheetName val="Затраты на сырье и материалы"/>
      <sheetName val="Персонал"/>
      <sheetName val="Общехозяйственные издержки"/>
      <sheetName val="Запасы сырья"/>
      <sheetName val="Доходы"/>
      <sheetName val="Кредит"/>
      <sheetName val="Аммортизация"/>
      <sheetName val="Cash-Flow"/>
      <sheetName val="P&amp;L"/>
      <sheetName val="Balance sheet"/>
      <sheetName val="Денежные потоки по мес."/>
      <sheetName val="Cash-Flow (0)"/>
      <sheetName val="P&amp;L (0)"/>
      <sheetName val="Дельта Cash-Flow"/>
      <sheetName val="Дельта P&amp;L"/>
      <sheetName val="Денежные потоки по годам"/>
      <sheetName val="NPV"/>
      <sheetName val="Анализ чувствительности"/>
    </sheetNames>
    <sheetDataSet>
      <sheetData sheetId="0">
        <row r="18">
          <cell r="D18">
            <v>0.18</v>
          </cell>
        </row>
        <row r="21">
          <cell r="D21">
            <v>0.2</v>
          </cell>
        </row>
        <row r="27">
          <cell r="D27">
            <v>5.5300000000000002E-2</v>
          </cell>
        </row>
        <row r="32">
          <cell r="D32">
            <v>10000</v>
          </cell>
        </row>
        <row r="33">
          <cell r="D33">
            <v>0.17499999999999999</v>
          </cell>
        </row>
        <row r="36">
          <cell r="D36">
            <v>30.187000000000001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A2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т"/>
      <sheetName val="Исх.данные"/>
      <sheetName val="Прогноз цен"/>
      <sheetName val="График реализации"/>
      <sheetName val="Инвестиции"/>
      <sheetName val="Продажи и Выручка"/>
      <sheetName val="Переменные затраты"/>
      <sheetName val="Постоянные затраты"/>
      <sheetName val="Персонал"/>
      <sheetName val="Налоги"/>
      <sheetName val="ДДС"/>
      <sheetName val="ОПиУ"/>
      <sheetName val="Фин. показатели"/>
      <sheetName val="Анализ чувствительности"/>
      <sheetName val="Точка безубыточности"/>
      <sheetName val="Ст.дисконт"/>
      <sheetName val="Анализ безубыточности"/>
    </sheetNames>
    <sheetDataSet>
      <sheetData sheetId="0"/>
      <sheetData sheetId="1">
        <row r="49"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cbonds.info/index/index_detail/group_id/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6">
    <tabColor theme="5" tint="0.79998168889431442"/>
  </sheetPr>
  <dimension ref="C1:P20"/>
  <sheetViews>
    <sheetView tabSelected="1" topLeftCell="B1" zoomScale="75" zoomScaleNormal="75" workbookViewId="0">
      <selection activeCell="C1" sqref="C1"/>
    </sheetView>
  </sheetViews>
  <sheetFormatPr defaultColWidth="9.140625" defaultRowHeight="14.25"/>
  <cols>
    <col min="1" max="1" width="0" style="253" hidden="1" customWidth="1"/>
    <col min="2" max="2" width="3.140625" style="253" customWidth="1"/>
    <col min="3" max="7" width="9.140625" style="253"/>
    <col min="8" max="8" width="19" style="253" customWidth="1"/>
    <col min="9" max="10" width="9.140625" style="253"/>
    <col min="11" max="11" width="107.7109375" style="253" customWidth="1"/>
    <col min="12" max="16384" width="9.140625" style="253"/>
  </cols>
  <sheetData>
    <row r="1" spans="3:16" ht="15" thickBot="1"/>
    <row r="2" spans="3:16" ht="15.75" customHeight="1" thickTop="1">
      <c r="C2" s="258"/>
      <c r="D2" s="259"/>
      <c r="E2" s="259"/>
      <c r="F2" s="259"/>
      <c r="G2" s="259"/>
      <c r="H2" s="259"/>
      <c r="I2" s="259"/>
      <c r="J2" s="259"/>
      <c r="K2" s="260"/>
      <c r="N2" s="425" t="s">
        <v>176</v>
      </c>
      <c r="O2" s="426"/>
      <c r="P2" s="427"/>
    </row>
    <row r="3" spans="3:16" ht="15.75">
      <c r="C3" s="261"/>
      <c r="D3" s="255"/>
      <c r="E3" s="255"/>
      <c r="F3" s="255"/>
      <c r="G3" s="255"/>
      <c r="H3" s="255"/>
      <c r="I3" s="255"/>
      <c r="J3" s="255"/>
      <c r="K3" s="262"/>
      <c r="N3" s="428" t="s">
        <v>177</v>
      </c>
      <c r="O3" s="429"/>
      <c r="P3" s="430"/>
    </row>
    <row r="4" spans="3:16" ht="16.5" customHeight="1">
      <c r="C4" s="261"/>
      <c r="D4" s="255"/>
      <c r="E4" s="255"/>
      <c r="F4" s="256"/>
      <c r="G4" s="257"/>
      <c r="H4" s="257"/>
      <c r="I4" s="255"/>
      <c r="J4" s="255"/>
      <c r="K4" s="262"/>
      <c r="N4" s="431" t="s">
        <v>178</v>
      </c>
      <c r="O4" s="432"/>
      <c r="P4" s="433"/>
    </row>
    <row r="5" spans="3:16" ht="15.75" customHeight="1">
      <c r="C5" s="263"/>
      <c r="D5" s="289"/>
      <c r="E5" s="290"/>
      <c r="F5" s="290"/>
      <c r="G5" s="290"/>
      <c r="H5" s="290"/>
      <c r="I5" s="291"/>
      <c r="J5" s="291"/>
      <c r="K5" s="262"/>
      <c r="N5" s="428" t="s">
        <v>179</v>
      </c>
      <c r="O5" s="429"/>
      <c r="P5" s="430"/>
    </row>
    <row r="6" spans="3:16" ht="15.75" customHeight="1">
      <c r="C6" s="263"/>
      <c r="D6" s="290"/>
      <c r="E6" s="290"/>
      <c r="F6" s="290"/>
      <c r="G6" s="290"/>
      <c r="H6" s="290"/>
      <c r="I6" s="291"/>
      <c r="J6" s="291"/>
      <c r="K6" s="262"/>
      <c r="N6" s="431" t="s">
        <v>180</v>
      </c>
      <c r="O6" s="432"/>
      <c r="P6" s="433"/>
    </row>
    <row r="7" spans="3:16" ht="15.75" customHeight="1">
      <c r="C7" s="263"/>
      <c r="D7" s="290"/>
      <c r="E7" s="290"/>
      <c r="F7" s="290"/>
      <c r="G7" s="290"/>
      <c r="H7" s="290"/>
      <c r="I7" s="291"/>
      <c r="J7" s="291"/>
      <c r="K7" s="262"/>
      <c r="N7" s="431" t="s">
        <v>181</v>
      </c>
      <c r="O7" s="432"/>
      <c r="P7" s="433"/>
    </row>
    <row r="8" spans="3:16" ht="15.75" customHeight="1">
      <c r="C8" s="263"/>
      <c r="D8" s="290"/>
      <c r="E8" s="290"/>
      <c r="F8" s="290"/>
      <c r="G8" s="290"/>
      <c r="H8" s="290"/>
      <c r="I8" s="291"/>
      <c r="J8" s="291"/>
      <c r="K8" s="262"/>
      <c r="N8" s="431" t="s">
        <v>182</v>
      </c>
      <c r="O8" s="432"/>
      <c r="P8" s="433"/>
    </row>
    <row r="9" spans="3:16" ht="15.75" customHeight="1">
      <c r="C9" s="263"/>
      <c r="D9" s="290"/>
      <c r="E9" s="290"/>
      <c r="F9" s="290"/>
      <c r="G9" s="290"/>
      <c r="H9" s="290"/>
      <c r="I9" s="291"/>
      <c r="J9" s="291"/>
      <c r="K9" s="262"/>
      <c r="N9" s="428" t="s">
        <v>183</v>
      </c>
      <c r="O9" s="429"/>
      <c r="P9" s="430"/>
    </row>
    <row r="10" spans="3:16" ht="15.75" customHeight="1">
      <c r="C10" s="263"/>
      <c r="D10" s="290"/>
      <c r="E10" s="290"/>
      <c r="F10" s="290"/>
      <c r="G10" s="290"/>
      <c r="H10" s="290"/>
      <c r="I10" s="291"/>
      <c r="J10" s="291"/>
      <c r="K10" s="262"/>
      <c r="L10"/>
      <c r="N10" s="428" t="s">
        <v>184</v>
      </c>
      <c r="O10" s="429"/>
      <c r="P10" s="430"/>
    </row>
    <row r="11" spans="3:16" ht="15.75" customHeight="1">
      <c r="C11" s="263"/>
      <c r="D11" s="290"/>
      <c r="E11" s="290"/>
      <c r="F11" s="290"/>
      <c r="G11" s="290"/>
      <c r="H11" s="290"/>
      <c r="I11" s="291"/>
      <c r="J11" s="291"/>
      <c r="K11" s="262"/>
      <c r="N11" s="428" t="s">
        <v>185</v>
      </c>
      <c r="O11" s="429"/>
      <c r="P11" s="430"/>
    </row>
    <row r="12" spans="3:16" ht="15.75" customHeight="1">
      <c r="C12" s="263"/>
      <c r="D12" s="292"/>
      <c r="E12" s="292"/>
      <c r="F12" s="292"/>
      <c r="G12" s="292"/>
      <c r="H12" s="292"/>
      <c r="I12" s="291"/>
      <c r="J12" s="291"/>
      <c r="K12" s="262"/>
      <c r="N12" s="428" t="s">
        <v>186</v>
      </c>
      <c r="O12" s="429"/>
      <c r="P12" s="430"/>
    </row>
    <row r="13" spans="3:16" ht="15.75" customHeight="1">
      <c r="C13" s="263"/>
      <c r="D13" s="292"/>
      <c r="E13" s="292"/>
      <c r="F13" s="292"/>
      <c r="G13" s="292"/>
      <c r="H13" s="292"/>
      <c r="I13" s="291"/>
      <c r="J13" s="291"/>
      <c r="K13" s="262"/>
      <c r="N13" s="287" t="s">
        <v>203</v>
      </c>
      <c r="O13" s="288"/>
      <c r="P13" s="286"/>
    </row>
    <row r="14" spans="3:16" ht="15.75" customHeight="1">
      <c r="C14" s="263"/>
      <c r="D14" s="292"/>
      <c r="E14" s="292"/>
      <c r="F14" s="292"/>
      <c r="G14" s="292"/>
      <c r="H14" s="292"/>
      <c r="I14" s="291"/>
      <c r="J14" s="291"/>
      <c r="K14" s="262"/>
      <c r="N14" s="431" t="s">
        <v>187</v>
      </c>
      <c r="O14" s="432"/>
      <c r="P14" s="433"/>
    </row>
    <row r="15" spans="3:16" ht="15.75" customHeight="1">
      <c r="C15" s="263"/>
      <c r="D15" s="292"/>
      <c r="E15" s="292"/>
      <c r="F15" s="292"/>
      <c r="G15" s="292"/>
      <c r="H15" s="292"/>
      <c r="I15" s="291"/>
      <c r="J15" s="291"/>
      <c r="K15" s="262"/>
      <c r="N15" s="431" t="s">
        <v>188</v>
      </c>
      <c r="O15" s="432"/>
      <c r="P15" s="433"/>
    </row>
    <row r="16" spans="3:16" ht="15.75" customHeight="1">
      <c r="C16" s="263"/>
      <c r="D16" s="293"/>
      <c r="E16" s="294"/>
      <c r="F16" s="295"/>
      <c r="G16" s="295"/>
      <c r="H16" s="291"/>
      <c r="I16" s="291"/>
      <c r="J16" s="291"/>
      <c r="K16" s="262"/>
      <c r="N16" s="431" t="s">
        <v>189</v>
      </c>
      <c r="O16" s="432"/>
      <c r="P16" s="433"/>
    </row>
    <row r="17" spans="3:16" ht="15.75" customHeight="1" thickBot="1">
      <c r="C17" s="263"/>
      <c r="D17" s="293"/>
      <c r="E17" s="294"/>
      <c r="F17" s="295"/>
      <c r="G17" s="295"/>
      <c r="H17" s="291"/>
      <c r="I17" s="291"/>
      <c r="J17" s="291"/>
      <c r="K17" s="262"/>
      <c r="N17" s="422" t="s">
        <v>190</v>
      </c>
      <c r="O17" s="423"/>
      <c r="P17" s="424"/>
    </row>
    <row r="18" spans="3:16" ht="15.75" customHeight="1">
      <c r="C18" s="263"/>
      <c r="D18" s="293"/>
      <c r="E18" s="294"/>
      <c r="F18" s="295"/>
      <c r="G18" s="295"/>
      <c r="H18" s="291"/>
      <c r="I18" s="291"/>
      <c r="J18" s="291"/>
      <c r="K18" s="264"/>
      <c r="M18"/>
      <c r="N18" s="254"/>
    </row>
    <row r="19" spans="3:16" ht="240" customHeight="1" thickBot="1">
      <c r="C19" s="265"/>
      <c r="D19" s="266"/>
      <c r="E19" s="266"/>
      <c r="F19" s="266"/>
      <c r="G19" s="266"/>
      <c r="H19" s="267"/>
      <c r="I19" s="266"/>
      <c r="J19" s="266"/>
      <c r="K19" s="268"/>
    </row>
    <row r="20" spans="3:16" ht="15" thickTop="1"/>
  </sheetData>
  <mergeCells count="15">
    <mergeCell ref="N17:P17"/>
    <mergeCell ref="N2:P2"/>
    <mergeCell ref="N3:P3"/>
    <mergeCell ref="N4:P4"/>
    <mergeCell ref="N5:P5"/>
    <mergeCell ref="N6:P6"/>
    <mergeCell ref="N7:P7"/>
    <mergeCell ref="N8:P8"/>
    <mergeCell ref="N9:P9"/>
    <mergeCell ref="N10:P10"/>
    <mergeCell ref="N11:P11"/>
    <mergeCell ref="N12:P12"/>
    <mergeCell ref="N14:P14"/>
    <mergeCell ref="N15:P15"/>
    <mergeCell ref="N16:P16"/>
  </mergeCells>
  <hyperlinks>
    <hyperlink ref="N3" location="Исх.данные!A1" display="Исх.данные!A1" xr:uid="{00000000-0004-0000-0000-000000000000}"/>
    <hyperlink ref="N4" location="'График реализации'!A1" display="'График реализации'!A1" xr:uid="{00000000-0004-0000-0000-000001000000}"/>
    <hyperlink ref="N5" location="Инвестиции!A1" display="Инвестиции!A1" xr:uid="{00000000-0004-0000-0000-000002000000}"/>
    <hyperlink ref="N6" location="'Продажи и Выручка'!A1" display="'Продажи и Выручка'!A1" xr:uid="{00000000-0004-0000-0000-000003000000}"/>
    <hyperlink ref="N7" location="'Переменные затраты'!A1" display="'Переменные затраты'!A1" xr:uid="{00000000-0004-0000-0000-000004000000}"/>
    <hyperlink ref="N8" location="'Постоянные затраты'!A1" display="'Постоянные затраты'!A1" xr:uid="{00000000-0004-0000-0000-000005000000}"/>
    <hyperlink ref="N9" location="Персонал!A1" display="Персонал!A1" xr:uid="{00000000-0004-0000-0000-000006000000}"/>
    <hyperlink ref="N10" location="Налоги!A1" display="Налоги!A1" xr:uid="{00000000-0004-0000-0000-000007000000}"/>
    <hyperlink ref="N11" location="ДДС!A1" display="ДДС!A1" xr:uid="{00000000-0004-0000-0000-000008000000}"/>
    <hyperlink ref="N12" location="ОПиУ!A1" display="ОПиУ!A1" xr:uid="{00000000-0004-0000-0000-000009000000}"/>
    <hyperlink ref="N14" location="'Фин. показатели'!A1" display="'Фин. показатели'!A1" xr:uid="{00000000-0004-0000-0000-00000A000000}"/>
    <hyperlink ref="N15" location="'Анализ чувствительности'!A1" display="'Анализ чувствительности'!A1" xr:uid="{00000000-0004-0000-0000-00000B000000}"/>
    <hyperlink ref="N16" location="'Точка безубыточности'!A1" display="'Точка безубыточности'!A1" xr:uid="{00000000-0004-0000-0000-00000C000000}"/>
    <hyperlink ref="N17" location="Ст.дисконт!A1" display="Ст.дисконт!A1" xr:uid="{00000000-0004-0000-0000-00000D000000}"/>
    <hyperlink ref="N3:P3" location="Исх.данные!A1" display="Исх.данные!A1" xr:uid="{00000000-0004-0000-0000-00000E000000}"/>
    <hyperlink ref="N4:P4" location="'График реализации'!A1" display="График реализации'!A1" xr:uid="{00000000-0004-0000-0000-00000F000000}"/>
    <hyperlink ref="N6:P6" location="'Продажи и Выручка'!A1" display="Продажи и Выручка'!A1" xr:uid="{00000000-0004-0000-0000-000010000000}"/>
    <hyperlink ref="N7:P7" location="'Переменные издержки проекта'!A1" display="Переменные затраты'!A1" xr:uid="{00000000-0004-0000-0000-000011000000}"/>
    <hyperlink ref="N8:P8" location="'Постоянные издержки проекта'!A1" display="Постоянные затраты'!A1" xr:uid="{00000000-0004-0000-0000-000012000000}"/>
    <hyperlink ref="N9:P9" location="Персонал!A1" display="Персонал!A1" xr:uid="{00000000-0004-0000-0000-000013000000}"/>
    <hyperlink ref="N10:P10" location="Налоги!A1" display="Налоги!A1" xr:uid="{00000000-0004-0000-0000-000014000000}"/>
    <hyperlink ref="N11:P11" location="ДДС!A1" display="ДДС!A1" xr:uid="{00000000-0004-0000-0000-000015000000}"/>
    <hyperlink ref="N13" location="'Расчет себестоимости'!A1" display="'Расчет себестоимости'!A1" xr:uid="{00000000-0004-0000-0000-000016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HW29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8" sqref="D28"/>
    </sheetView>
  </sheetViews>
  <sheetFormatPr defaultColWidth="9.140625" defaultRowHeight="15"/>
  <cols>
    <col min="1" max="1" width="51.5703125" style="17" customWidth="1"/>
    <col min="2" max="13" width="8.85546875" style="17" customWidth="1"/>
    <col min="14" max="25" width="9.85546875" style="17" customWidth="1"/>
    <col min="26" max="29" width="11.7109375" style="16" customWidth="1"/>
    <col min="30" max="49" width="11.7109375" style="17" customWidth="1"/>
    <col min="50" max="61" width="11" style="17" customWidth="1"/>
    <col min="62" max="73" width="10.7109375" style="17" customWidth="1"/>
    <col min="74" max="97" width="10.5703125" style="17" customWidth="1"/>
    <col min="98" max="16384" width="9.140625" style="17"/>
  </cols>
  <sheetData>
    <row r="1" spans="1:133" s="120" customFormat="1" ht="18" customHeight="1">
      <c r="A1" s="76" t="s">
        <v>68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133" s="83" customFormat="1" ht="13.15" customHeight="1">
      <c r="A2" s="121"/>
      <c r="B2" s="448">
        <f>ДДС!C2</f>
        <v>2022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50"/>
      <c r="N2" s="448">
        <f>ДДС!O2</f>
        <v>2023</v>
      </c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50"/>
      <c r="Z2" s="448">
        <f>ДДС!AA2</f>
        <v>2024</v>
      </c>
      <c r="AA2" s="449"/>
      <c r="AB2" s="449"/>
      <c r="AC2" s="449"/>
      <c r="AD2" s="449"/>
      <c r="AE2" s="449"/>
      <c r="AF2" s="449"/>
      <c r="AG2" s="449"/>
      <c r="AH2" s="449"/>
      <c r="AI2" s="449"/>
      <c r="AJ2" s="449"/>
      <c r="AK2" s="450"/>
      <c r="AL2" s="448">
        <f>ДДС!AM2</f>
        <v>2025</v>
      </c>
      <c r="AM2" s="449"/>
      <c r="AN2" s="449"/>
      <c r="AO2" s="449"/>
      <c r="AP2" s="449"/>
      <c r="AQ2" s="449"/>
      <c r="AR2" s="449"/>
      <c r="AS2" s="449"/>
      <c r="AT2" s="449"/>
      <c r="AU2" s="449"/>
      <c r="AV2" s="449"/>
      <c r="AW2" s="450"/>
      <c r="AX2" s="448">
        <f>ДДС!AY2</f>
        <v>2026</v>
      </c>
      <c r="AY2" s="449"/>
      <c r="AZ2" s="449"/>
      <c r="BA2" s="449"/>
      <c r="BB2" s="449"/>
      <c r="BC2" s="449"/>
      <c r="BD2" s="449"/>
      <c r="BE2" s="449"/>
      <c r="BF2" s="449"/>
      <c r="BG2" s="449"/>
      <c r="BH2" s="449"/>
      <c r="BI2" s="450"/>
      <c r="BJ2" s="448">
        <f>ДДС!BK2</f>
        <v>2027</v>
      </c>
      <c r="BK2" s="449"/>
      <c r="BL2" s="449"/>
      <c r="BM2" s="449"/>
      <c r="BN2" s="449"/>
      <c r="BO2" s="449"/>
      <c r="BP2" s="449"/>
      <c r="BQ2" s="449"/>
      <c r="BR2" s="449"/>
      <c r="BS2" s="449"/>
      <c r="BT2" s="449"/>
      <c r="BU2" s="450"/>
      <c r="BV2" s="448">
        <f>ДДС!BW2</f>
        <v>2028</v>
      </c>
      <c r="BW2" s="449"/>
      <c r="BX2" s="449"/>
      <c r="BY2" s="449"/>
      <c r="BZ2" s="449"/>
      <c r="CA2" s="449"/>
      <c r="CB2" s="449"/>
      <c r="CC2" s="449"/>
      <c r="CD2" s="449"/>
      <c r="CE2" s="449"/>
      <c r="CF2" s="449"/>
      <c r="CG2" s="450"/>
      <c r="CH2" s="448">
        <f>ДДС!CI2</f>
        <v>2029</v>
      </c>
      <c r="CI2" s="449"/>
      <c r="CJ2" s="449"/>
      <c r="CK2" s="449"/>
      <c r="CL2" s="449"/>
      <c r="CM2" s="449"/>
      <c r="CN2" s="449"/>
      <c r="CO2" s="449"/>
      <c r="CP2" s="449"/>
      <c r="CQ2" s="449"/>
      <c r="CR2" s="449"/>
      <c r="CS2" s="450"/>
      <c r="CT2" s="448">
        <f>ДДС!CU2</f>
        <v>2030</v>
      </c>
      <c r="CU2" s="449"/>
      <c r="CV2" s="449"/>
      <c r="CW2" s="449"/>
      <c r="CX2" s="449"/>
      <c r="CY2" s="449"/>
      <c r="CZ2" s="449"/>
      <c r="DA2" s="449"/>
      <c r="DB2" s="449"/>
      <c r="DC2" s="449"/>
      <c r="DD2" s="449"/>
      <c r="DE2" s="450"/>
      <c r="DF2" s="448">
        <f>ДДС!DG2</f>
        <v>2031</v>
      </c>
      <c r="DG2" s="449"/>
      <c r="DH2" s="449"/>
      <c r="DI2" s="449"/>
      <c r="DJ2" s="449"/>
      <c r="DK2" s="449"/>
      <c r="DL2" s="449"/>
      <c r="DM2" s="449"/>
      <c r="DN2" s="449"/>
      <c r="DO2" s="449"/>
      <c r="DP2" s="449"/>
      <c r="DQ2" s="450"/>
      <c r="DR2" s="448">
        <f>ДДС!DS2</f>
        <v>2032</v>
      </c>
      <c r="DS2" s="449"/>
      <c r="DT2" s="449"/>
      <c r="DU2" s="449"/>
      <c r="DV2" s="449"/>
      <c r="DW2" s="449"/>
      <c r="DX2" s="449"/>
      <c r="DY2" s="449"/>
      <c r="DZ2" s="449"/>
      <c r="EA2" s="449"/>
      <c r="EB2" s="449"/>
      <c r="EC2" s="450"/>
    </row>
    <row r="3" spans="1:133" s="86" customFormat="1" ht="13.15" customHeight="1">
      <c r="A3" s="90" t="s">
        <v>0</v>
      </c>
      <c r="B3" s="87">
        <f>ДДС!C3</f>
        <v>44592</v>
      </c>
      <c r="C3" s="87">
        <f>ДДС!D3</f>
        <v>44620</v>
      </c>
      <c r="D3" s="87">
        <f>ДДС!E3</f>
        <v>44651</v>
      </c>
      <c r="E3" s="87">
        <f>ДДС!F3</f>
        <v>44681</v>
      </c>
      <c r="F3" s="87">
        <f>ДДС!G3</f>
        <v>44712</v>
      </c>
      <c r="G3" s="87">
        <f>ДДС!H3</f>
        <v>44742</v>
      </c>
      <c r="H3" s="87">
        <f>ДДС!I3</f>
        <v>44773</v>
      </c>
      <c r="I3" s="87">
        <f>ДДС!J3</f>
        <v>44804</v>
      </c>
      <c r="J3" s="87">
        <f>ДДС!K3</f>
        <v>44834</v>
      </c>
      <c r="K3" s="87">
        <f>ДДС!L3</f>
        <v>44865</v>
      </c>
      <c r="L3" s="87">
        <f>ДДС!M3</f>
        <v>44895</v>
      </c>
      <c r="M3" s="87">
        <f>ДДС!N3</f>
        <v>44926</v>
      </c>
      <c r="N3" s="87">
        <f>ДДС!O3</f>
        <v>44957</v>
      </c>
      <c r="O3" s="87">
        <f>ДДС!P3</f>
        <v>44985</v>
      </c>
      <c r="P3" s="87">
        <f>ДДС!Q3</f>
        <v>45016</v>
      </c>
      <c r="Q3" s="87">
        <f>ДДС!R3</f>
        <v>45046</v>
      </c>
      <c r="R3" s="87">
        <f>ДДС!S3</f>
        <v>45077</v>
      </c>
      <c r="S3" s="87">
        <f>ДДС!T3</f>
        <v>45107</v>
      </c>
      <c r="T3" s="87">
        <f>ДДС!U3</f>
        <v>45138</v>
      </c>
      <c r="U3" s="87">
        <f>ДДС!V3</f>
        <v>45169</v>
      </c>
      <c r="V3" s="87">
        <f>ДДС!W3</f>
        <v>45199</v>
      </c>
      <c r="W3" s="87">
        <f>ДДС!X3</f>
        <v>45230</v>
      </c>
      <c r="X3" s="87">
        <f>ДДС!Y3</f>
        <v>45260</v>
      </c>
      <c r="Y3" s="87">
        <f>ДДС!Z3</f>
        <v>45291</v>
      </c>
      <c r="Z3" s="87">
        <f>ДДС!AA3</f>
        <v>45322</v>
      </c>
      <c r="AA3" s="87">
        <f>ДДС!AB3</f>
        <v>45351</v>
      </c>
      <c r="AB3" s="87">
        <f>ДДС!AC3</f>
        <v>45382</v>
      </c>
      <c r="AC3" s="87">
        <f>ДДС!AD3</f>
        <v>45412</v>
      </c>
      <c r="AD3" s="87">
        <f>ДДС!AE3</f>
        <v>45443</v>
      </c>
      <c r="AE3" s="87">
        <f>ДДС!AF3</f>
        <v>45473</v>
      </c>
      <c r="AF3" s="87">
        <f>ДДС!AG3</f>
        <v>45504</v>
      </c>
      <c r="AG3" s="87">
        <f>ДДС!AH3</f>
        <v>45535</v>
      </c>
      <c r="AH3" s="87">
        <f>ДДС!AI3</f>
        <v>45565</v>
      </c>
      <c r="AI3" s="87">
        <f>ДДС!AJ3</f>
        <v>45596</v>
      </c>
      <c r="AJ3" s="87">
        <f>ДДС!AK3</f>
        <v>45626</v>
      </c>
      <c r="AK3" s="87">
        <f>ДДС!AL3</f>
        <v>45657</v>
      </c>
      <c r="AL3" s="87">
        <f>ДДС!AM3</f>
        <v>45688</v>
      </c>
      <c r="AM3" s="87">
        <f>ДДС!AN3</f>
        <v>45716</v>
      </c>
      <c r="AN3" s="87">
        <f>ДДС!AO3</f>
        <v>45747</v>
      </c>
      <c r="AO3" s="87">
        <f>ДДС!AP3</f>
        <v>45777</v>
      </c>
      <c r="AP3" s="87">
        <f>ДДС!AQ3</f>
        <v>45808</v>
      </c>
      <c r="AQ3" s="87">
        <f>ДДС!AR3</f>
        <v>45838</v>
      </c>
      <c r="AR3" s="87">
        <f>ДДС!AS3</f>
        <v>45869</v>
      </c>
      <c r="AS3" s="87">
        <f>ДДС!AT3</f>
        <v>45900</v>
      </c>
      <c r="AT3" s="87">
        <f>ДДС!AU3</f>
        <v>45930</v>
      </c>
      <c r="AU3" s="87">
        <f>ДДС!AV3</f>
        <v>45961</v>
      </c>
      <c r="AV3" s="87">
        <f>ДДС!AW3</f>
        <v>45991</v>
      </c>
      <c r="AW3" s="87">
        <f>ДДС!AX3</f>
        <v>46022</v>
      </c>
      <c r="AX3" s="87">
        <f>ДДС!AY3</f>
        <v>46053</v>
      </c>
      <c r="AY3" s="87">
        <f>ДДС!AZ3</f>
        <v>46081</v>
      </c>
      <c r="AZ3" s="87">
        <f>ДДС!BA3</f>
        <v>46112</v>
      </c>
      <c r="BA3" s="87">
        <f>ДДС!BB3</f>
        <v>46142</v>
      </c>
      <c r="BB3" s="87">
        <f>ДДС!BC3</f>
        <v>46173</v>
      </c>
      <c r="BC3" s="87">
        <f>ДДС!BD3</f>
        <v>46203</v>
      </c>
      <c r="BD3" s="87">
        <f>ДДС!BE3</f>
        <v>46234</v>
      </c>
      <c r="BE3" s="87">
        <f>ДДС!BF3</f>
        <v>46265</v>
      </c>
      <c r="BF3" s="87">
        <f>ДДС!BG3</f>
        <v>46295</v>
      </c>
      <c r="BG3" s="87">
        <f>ДДС!BH3</f>
        <v>46326</v>
      </c>
      <c r="BH3" s="87">
        <f>ДДС!BI3</f>
        <v>46356</v>
      </c>
      <c r="BI3" s="87">
        <f>ДДС!BJ3</f>
        <v>46387</v>
      </c>
      <c r="BJ3" s="87">
        <f>ДДС!BK3</f>
        <v>46418</v>
      </c>
      <c r="BK3" s="87">
        <f>ДДС!BL3</f>
        <v>46446</v>
      </c>
      <c r="BL3" s="87">
        <f>ДДС!BM3</f>
        <v>46477</v>
      </c>
      <c r="BM3" s="87">
        <f>ДДС!BN3</f>
        <v>46507</v>
      </c>
      <c r="BN3" s="87">
        <f>ДДС!BO3</f>
        <v>46538</v>
      </c>
      <c r="BO3" s="87">
        <f>ДДС!BP3</f>
        <v>46568</v>
      </c>
      <c r="BP3" s="87">
        <f>ДДС!BQ3</f>
        <v>46599</v>
      </c>
      <c r="BQ3" s="87">
        <f>ДДС!BR3</f>
        <v>46630</v>
      </c>
      <c r="BR3" s="87">
        <f>ДДС!BS3</f>
        <v>46660</v>
      </c>
      <c r="BS3" s="87">
        <f>ДДС!BT3</f>
        <v>46691</v>
      </c>
      <c r="BT3" s="87">
        <f>ДДС!BU3</f>
        <v>46721</v>
      </c>
      <c r="BU3" s="87">
        <f>ДДС!BV3</f>
        <v>46752</v>
      </c>
      <c r="BV3" s="87">
        <f>ДДС!BW3</f>
        <v>46783</v>
      </c>
      <c r="BW3" s="87">
        <f>ДДС!BX3</f>
        <v>46812</v>
      </c>
      <c r="BX3" s="87">
        <f>ДДС!BY3</f>
        <v>46843</v>
      </c>
      <c r="BY3" s="87">
        <f>ДДС!BZ3</f>
        <v>46873</v>
      </c>
      <c r="BZ3" s="87">
        <f>ДДС!CA3</f>
        <v>46904</v>
      </c>
      <c r="CA3" s="87">
        <f>ДДС!CB3</f>
        <v>46934</v>
      </c>
      <c r="CB3" s="87">
        <f>ДДС!CC3</f>
        <v>46965</v>
      </c>
      <c r="CC3" s="87">
        <f>ДДС!CD3</f>
        <v>46996</v>
      </c>
      <c r="CD3" s="87">
        <f>ДДС!CE3</f>
        <v>47026</v>
      </c>
      <c r="CE3" s="87">
        <f>ДДС!CF3</f>
        <v>47057</v>
      </c>
      <c r="CF3" s="87">
        <f>ДДС!CG3</f>
        <v>47087</v>
      </c>
      <c r="CG3" s="87">
        <f>ДДС!CH3</f>
        <v>47118</v>
      </c>
      <c r="CH3" s="87">
        <f>ДДС!CI3</f>
        <v>47149</v>
      </c>
      <c r="CI3" s="87">
        <f>ДДС!CJ3</f>
        <v>47177</v>
      </c>
      <c r="CJ3" s="87">
        <f>ДДС!CK3</f>
        <v>47208</v>
      </c>
      <c r="CK3" s="87">
        <f>ДДС!CL3</f>
        <v>47238</v>
      </c>
      <c r="CL3" s="87">
        <f>ДДС!CM3</f>
        <v>47269</v>
      </c>
      <c r="CM3" s="87">
        <f>ДДС!CN3</f>
        <v>47299</v>
      </c>
      <c r="CN3" s="87">
        <f>ДДС!CO3</f>
        <v>47330</v>
      </c>
      <c r="CO3" s="87">
        <f>ДДС!CP3</f>
        <v>47361</v>
      </c>
      <c r="CP3" s="87">
        <f>ДДС!CQ3</f>
        <v>47391</v>
      </c>
      <c r="CQ3" s="87">
        <f>ДДС!CR3</f>
        <v>47422</v>
      </c>
      <c r="CR3" s="87">
        <f>ДДС!CS3</f>
        <v>47452</v>
      </c>
      <c r="CS3" s="87">
        <f>ДДС!CT3</f>
        <v>47483</v>
      </c>
      <c r="CT3" s="87">
        <f>ДДС!CU3</f>
        <v>47514</v>
      </c>
      <c r="CU3" s="87">
        <f>ДДС!CV3</f>
        <v>47542</v>
      </c>
      <c r="CV3" s="87">
        <f>ДДС!CW3</f>
        <v>47573</v>
      </c>
      <c r="CW3" s="87">
        <f>ДДС!CX3</f>
        <v>47603</v>
      </c>
      <c r="CX3" s="87">
        <f>ДДС!CY3</f>
        <v>47634</v>
      </c>
      <c r="CY3" s="87">
        <f>ДДС!CZ3</f>
        <v>47664</v>
      </c>
      <c r="CZ3" s="87">
        <f>ДДС!DA3</f>
        <v>47695</v>
      </c>
      <c r="DA3" s="87">
        <f>ДДС!DB3</f>
        <v>47726</v>
      </c>
      <c r="DB3" s="87">
        <f>ДДС!DC3</f>
        <v>47756</v>
      </c>
      <c r="DC3" s="87">
        <f>ДДС!DD3</f>
        <v>47787</v>
      </c>
      <c r="DD3" s="87">
        <f>ДДС!DE3</f>
        <v>47817</v>
      </c>
      <c r="DE3" s="87">
        <f>ДДС!DF3</f>
        <v>47848</v>
      </c>
      <c r="DF3" s="87">
        <f>ДДС!DG3</f>
        <v>47879</v>
      </c>
      <c r="DG3" s="87">
        <f>ДДС!DH3</f>
        <v>47907</v>
      </c>
      <c r="DH3" s="87">
        <f>ДДС!DI3</f>
        <v>47938</v>
      </c>
      <c r="DI3" s="87">
        <f>ДДС!DJ3</f>
        <v>47968</v>
      </c>
      <c r="DJ3" s="87">
        <f>ДДС!DK3</f>
        <v>47999</v>
      </c>
      <c r="DK3" s="87">
        <f>ДДС!DL3</f>
        <v>48029</v>
      </c>
      <c r="DL3" s="87">
        <f>ДДС!DM3</f>
        <v>48060</v>
      </c>
      <c r="DM3" s="87">
        <f>ДДС!DN3</f>
        <v>48091</v>
      </c>
      <c r="DN3" s="87">
        <f>ДДС!DO3</f>
        <v>48121</v>
      </c>
      <c r="DO3" s="87">
        <f>ДДС!DP3</f>
        <v>48152</v>
      </c>
      <c r="DP3" s="87">
        <f>ДДС!DQ3</f>
        <v>48182</v>
      </c>
      <c r="DQ3" s="87">
        <f>ДДС!DR3</f>
        <v>48213</v>
      </c>
      <c r="DR3" s="87">
        <f>ДДС!DS3</f>
        <v>48244</v>
      </c>
      <c r="DS3" s="87">
        <f>ДДС!DT3</f>
        <v>48273</v>
      </c>
      <c r="DT3" s="87">
        <f>ДДС!DU3</f>
        <v>48304</v>
      </c>
      <c r="DU3" s="87">
        <f>ДДС!DV3</f>
        <v>48334</v>
      </c>
      <c r="DV3" s="87">
        <f>ДДС!DW3</f>
        <v>48365</v>
      </c>
      <c r="DW3" s="87">
        <f>ДДС!DX3</f>
        <v>48395</v>
      </c>
      <c r="DX3" s="87">
        <f>ДДС!DY3</f>
        <v>48426</v>
      </c>
      <c r="DY3" s="87">
        <f>ДДС!DZ3</f>
        <v>48457</v>
      </c>
      <c r="DZ3" s="87">
        <f>ДДС!EA3</f>
        <v>48487</v>
      </c>
      <c r="EA3" s="87">
        <f>ДДС!EB3</f>
        <v>48518</v>
      </c>
      <c r="EB3" s="87">
        <f>ДДС!EC3</f>
        <v>48548</v>
      </c>
      <c r="EC3" s="87">
        <f>ДДС!ED3</f>
        <v>48579</v>
      </c>
    </row>
    <row r="4" spans="1:133" s="397" customFormat="1" ht="13.15" customHeight="1">
      <c r="A4" s="396" t="s">
        <v>170</v>
      </c>
      <c r="B4" s="72">
        <f>'Продажи и Выручка'!B32*Исх.данные!$B$21</f>
        <v>0</v>
      </c>
      <c r="C4" s="72">
        <f>'Продажи и Выручка'!C32*Исх.данные!$B$21</f>
        <v>0</v>
      </c>
      <c r="D4" s="72">
        <f>'Продажи и Выручка'!D32*Исх.данные!$B$21</f>
        <v>0</v>
      </c>
      <c r="E4" s="72">
        <f>'Продажи и Выручка'!E32*Исх.данные!$B$21</f>
        <v>0</v>
      </c>
      <c r="F4" s="72">
        <f>'Продажи и Выручка'!F32*Исх.данные!$B$21</f>
        <v>0</v>
      </c>
      <c r="G4" s="72">
        <f>'Продажи и Выручка'!G32*Исх.данные!$B$21</f>
        <v>0</v>
      </c>
      <c r="H4" s="72">
        <f>'Продажи и Выручка'!H32*Исх.данные!$B$21</f>
        <v>0</v>
      </c>
      <c r="I4" s="72">
        <f>'Продажи и Выручка'!I32*Исх.данные!$B$21</f>
        <v>0</v>
      </c>
      <c r="J4" s="72">
        <f>'Продажи и Выручка'!J32*Исх.данные!$B$21</f>
        <v>0</v>
      </c>
      <c r="K4" s="72">
        <f>'Продажи и Выручка'!K32*Исх.данные!$B$21</f>
        <v>0</v>
      </c>
      <c r="L4" s="72">
        <f>'Продажи и Выручка'!L32*Исх.данные!$B$21</f>
        <v>0</v>
      </c>
      <c r="M4" s="72">
        <f>'Продажи и Выручка'!M32*Исх.данные!$B$21</f>
        <v>0</v>
      </c>
      <c r="N4" s="72">
        <f>'Продажи и Выручка'!N32*Исх.данные!$B$21</f>
        <v>0</v>
      </c>
      <c r="O4" s="72">
        <f>'Продажи и Выручка'!O32*Исх.данные!$B$21</f>
        <v>0</v>
      </c>
      <c r="P4" s="72">
        <f>'Продажи и Выручка'!P32*Исх.данные!$B$21</f>
        <v>0</v>
      </c>
      <c r="Q4" s="72">
        <f>'Продажи и Выручка'!Q32*Исх.данные!$B$21</f>
        <v>0</v>
      </c>
      <c r="R4" s="72">
        <f>'Продажи и Выручка'!R32*Исх.данные!$B$21</f>
        <v>0</v>
      </c>
      <c r="S4" s="72">
        <f>'Продажи и Выручка'!S32*Исх.данные!$B$21</f>
        <v>0</v>
      </c>
      <c r="T4" s="72">
        <f>'Продажи и Выручка'!T32*Исх.данные!$B$21</f>
        <v>0</v>
      </c>
      <c r="U4" s="72">
        <f>'Продажи и Выручка'!U32*Исх.данные!$B$21</f>
        <v>0</v>
      </c>
      <c r="V4" s="72">
        <f>'Продажи и Выручка'!V32*Исх.данные!$B$21</f>
        <v>0</v>
      </c>
      <c r="W4" s="72">
        <f>'Продажи и Выручка'!W32*Исх.данные!$B$21</f>
        <v>0</v>
      </c>
      <c r="X4" s="72">
        <f>'Продажи и Выручка'!X32*Исх.данные!$B$21</f>
        <v>0</v>
      </c>
      <c r="Y4" s="72">
        <f>'Продажи и Выручка'!Y32*Исх.данные!$B$21</f>
        <v>708.26165000000015</v>
      </c>
      <c r="Z4" s="72">
        <f>'Продажи и Выручка'!Z32*Исх.данные!$B$21</f>
        <v>466.61944</v>
      </c>
      <c r="AA4" s="72">
        <f>'Продажи и Выручка'!AA32*Исх.данные!$B$21</f>
        <v>1199.8785600000001</v>
      </c>
      <c r="AB4" s="72">
        <f>'Продажи и Выручка'!AB32*Исх.данные!$B$21</f>
        <v>2999.6964000000003</v>
      </c>
      <c r="AC4" s="72">
        <f>'Продажи и Выручка'!AC32*Исх.данные!$B$21</f>
        <v>5249.4687000000004</v>
      </c>
      <c r="AD4" s="72">
        <f>'Продажи и Выручка'!AD32*Исх.данные!$B$21</f>
        <v>5332.7936000000009</v>
      </c>
      <c r="AE4" s="72">
        <f>'Продажи и Выручка'!AE32*Исх.данные!$B$21</f>
        <v>6399.35232</v>
      </c>
      <c r="AF4" s="72">
        <f>'Продажи и Выручка'!AF32*Исх.данные!$B$21</f>
        <v>7465.9110400000027</v>
      </c>
      <c r="AG4" s="72">
        <f>'Продажи и Выручка'!AG32*Исх.данные!$B$21</f>
        <v>9199.0689600000005</v>
      </c>
      <c r="AH4" s="72">
        <f>'Продажи и Выручка'!AH32*Исх.данные!$B$21</f>
        <v>11198.866560000004</v>
      </c>
      <c r="AI4" s="72">
        <f>'Продажи и Выручка'!AI32*Исх.данные!$B$21</f>
        <v>12798.70464</v>
      </c>
      <c r="AJ4" s="72">
        <f>'Продажи и Выручка'!AJ32*Исх.данные!$B$21</f>
        <v>13331.983999999999</v>
      </c>
      <c r="AK4" s="72">
        <f>'Продажи и Выручка'!AK32*Исх.данные!$B$21</f>
        <v>2833.0466000000006</v>
      </c>
      <c r="AL4" s="72">
        <f>'Продажи и Выручка'!AL32*Исх.данные!$B$21</f>
        <v>1399.8583200000005</v>
      </c>
      <c r="AM4" s="72">
        <f>'Продажи и Выручка'!AM32*Исх.данные!$B$21</f>
        <v>2799.716640000001</v>
      </c>
      <c r="AN4" s="72">
        <f>'Продажи и Выручка'!AN32*Исх.данные!$B$21</f>
        <v>5249.4687000000004</v>
      </c>
      <c r="AO4" s="72">
        <f>'Продажи и Выручка'!AO32*Исх.данные!$B$21</f>
        <v>7349.2561800000012</v>
      </c>
      <c r="AP4" s="72">
        <f>'Продажи и Выручка'!AP32*Исх.данные!$B$21</f>
        <v>6999.2916000000014</v>
      </c>
      <c r="AQ4" s="72">
        <f>'Продажи и Выручка'!AQ32*Исх.данные!$B$21</f>
        <v>8399.1499200000017</v>
      </c>
      <c r="AR4" s="72">
        <f>'Продажи и Выручка'!AR32*Исх.данные!$B$21</f>
        <v>9799.0082400000028</v>
      </c>
      <c r="AS4" s="72">
        <f>'Продажи и Выручка'!AS32*Исх.данные!$B$21</f>
        <v>12073.778009999998</v>
      </c>
      <c r="AT4" s="72">
        <f>'Продажи и Выручка'!AT32*Исх.данные!$B$21</f>
        <v>14698.512360000002</v>
      </c>
      <c r="AU4" s="72">
        <f>'Продажи и Выручка'!AU32*Исх.данные!$B$21</f>
        <v>16798.299840000003</v>
      </c>
      <c r="AV4" s="72">
        <f>'Продажи и Выручка'!AV32*Исх.данные!$B$21</f>
        <v>17498.228999999999</v>
      </c>
      <c r="AW4" s="72">
        <f>'Продажи и Выручка'!AW32*Исх.данные!$B$21</f>
        <v>2974.69893</v>
      </c>
      <c r="AX4" s="72">
        <f>'Продажи и Выручка'!AX32*Исх.данные!$B$21</f>
        <v>1569.8512360000002</v>
      </c>
      <c r="AY4" s="72">
        <f>'Продажи и Выручка'!AY32*Исх.данные!$B$21</f>
        <v>3039.7024720000004</v>
      </c>
      <c r="AZ4" s="72">
        <f>'Продажи и Выручка'!AZ32*Исх.данные!$B$21</f>
        <v>5611.9421350000002</v>
      </c>
      <c r="BA4" s="72">
        <f>'Продажи и Выручка'!BA32*Исх.данные!$B$21</f>
        <v>7816.7189890000009</v>
      </c>
      <c r="BB4" s="72">
        <f>'Продажи и Выручка'!BB32*Исх.данные!$B$21</f>
        <v>7449.2561800000012</v>
      </c>
      <c r="BC4" s="72">
        <f>'Продажи и Выручка'!BC32*Исх.данные!$B$21</f>
        <v>8919.1074160000007</v>
      </c>
      <c r="BD4" s="72">
        <f>'Продажи и Выручка'!BD32*Исх.данные!$B$21</f>
        <v>10388.958652000003</v>
      </c>
      <c r="BE4" s="72">
        <f>'Продажи и Выручка'!BE32*Исх.данные!$B$21</f>
        <v>12777.466910499998</v>
      </c>
      <c r="BF4" s="72">
        <f>'Продажи и Выручка'!BF32*Исх.данные!$B$21</f>
        <v>15533.437978000002</v>
      </c>
      <c r="BG4" s="72">
        <f>'Продажи и Выручка'!BG32*Исх.данные!$B$21</f>
        <v>17738.214832000001</v>
      </c>
      <c r="BH4" s="72">
        <f>'Продажи и Выручка'!BH32*Исх.данные!$B$21</f>
        <v>18473.140450000003</v>
      </c>
      <c r="BI4" s="72">
        <f>'Продажи и Выручка'!BI32*Исх.данные!$B$21</f>
        <v>3223.4338765000007</v>
      </c>
      <c r="BJ4" s="72">
        <f>'Продажи и Выручка'!BJ32*Исх.данные!$B$21</f>
        <v>1753.3437978000004</v>
      </c>
      <c r="BK4" s="72">
        <f>'Продажи и Выручка'!BK32*Исх.данные!$B$21</f>
        <v>3296.6875956000008</v>
      </c>
      <c r="BL4" s="72">
        <f>'Продажи и Выручка'!BL32*Исх.данные!$B$21</f>
        <v>5997.5392417500016</v>
      </c>
      <c r="BM4" s="72">
        <f>'Продажи и Выручка'!BM32*Исх.данные!$B$21</f>
        <v>8312.5549384500027</v>
      </c>
      <c r="BN4" s="72">
        <f>'Продажи и Выручка'!BN32*Исх.данные!$B$21</f>
        <v>7926.7189890000009</v>
      </c>
      <c r="BO4" s="72">
        <f>'Продажи и Выручка'!BO32*Исх.данные!$B$21</f>
        <v>9470.0627868000029</v>
      </c>
      <c r="BP4" s="72">
        <f>'Продажи и Выручка'!BP32*Исх.данные!$B$21</f>
        <v>11013.406584600005</v>
      </c>
      <c r="BQ4" s="72">
        <f>'Продажи и Выручка'!BQ32*Исх.данные!$B$21</f>
        <v>13521.340256025002</v>
      </c>
      <c r="BR4" s="72">
        <f>'Продажи и Выручка'!BR32*Исх.данные!$B$21</f>
        <v>16415.109876900005</v>
      </c>
      <c r="BS4" s="72">
        <f>'Продажи и Выручка'!BS32*Исх.данные!$B$21</f>
        <v>18730.125573600006</v>
      </c>
      <c r="BT4" s="72">
        <f>'Продажи и Выручка'!BT32*Исх.данные!$B$21</f>
        <v>19501.797472500006</v>
      </c>
      <c r="BU4" s="72">
        <f>'Продажи и Выручка'!BU32*Исх.данные!$B$21</f>
        <v>3489.6055703250013</v>
      </c>
      <c r="BV4" s="72">
        <f>'Продажи и Выручка'!BV32*Исх.данные!$B$21</f>
        <v>1841.0109876900005</v>
      </c>
      <c r="BW4" s="72">
        <f>'Продажи и Выручка'!BW32*Исх.данные!$B$21</f>
        <v>3461.5219753800011</v>
      </c>
      <c r="BX4" s="72">
        <f>'Продажи и Выручка'!BX32*Исх.данные!$B$21</f>
        <v>6297.4162038375007</v>
      </c>
      <c r="BY4" s="72">
        <f>'Продажи и Выручка'!BY32*Исх.данные!$B$21</f>
        <v>8728.1826853725033</v>
      </c>
      <c r="BZ4" s="72">
        <f>'Продажи и Выручка'!BZ32*Исх.данные!$B$21</f>
        <v>8323.0549384500027</v>
      </c>
      <c r="CA4" s="72">
        <f>'Продажи и Выручка'!CA32*Исх.данные!$B$21</f>
        <v>9943.5659261400015</v>
      </c>
      <c r="CB4" s="72">
        <f>'Продажи и Выручка'!CB32*Исх.данные!$B$21</f>
        <v>11564.076913830006</v>
      </c>
      <c r="CC4" s="72">
        <f>'Продажи и Выручка'!CC32*Исх.данные!$B$21</f>
        <v>14197.407268826253</v>
      </c>
      <c r="CD4" s="72">
        <f>'Продажи и Выручка'!CD32*Исх.данные!$B$21</f>
        <v>17235.865370745007</v>
      </c>
      <c r="CE4" s="72">
        <f>'Продажи и Выручка'!CE32*Исх.данные!$B$21</f>
        <v>19666.631852280003</v>
      </c>
      <c r="CF4" s="72">
        <f>'Продажи и Выручка'!CF32*Исх.данные!$B$21</f>
        <v>20476.887346125008</v>
      </c>
      <c r="CG4" s="72">
        <f>'Продажи и Выручка'!CG32*Исх.данные!$B$21</f>
        <v>3664.0858488412523</v>
      </c>
      <c r="CH4" s="72">
        <f>'Продажи и Выручка'!CH32*Исх.данные!$B$21</f>
        <v>1933.0615370745004</v>
      </c>
      <c r="CI4" s="72">
        <f>'Продажи и Выручка'!CI32*Исх.данные!$B$21</f>
        <v>3634.5980741490011</v>
      </c>
      <c r="CJ4" s="72">
        <f>'Продажи и Выручка'!CJ32*Исх.данные!$B$21</f>
        <v>6612.2870140293771</v>
      </c>
      <c r="CK4" s="72">
        <f>'Продажи и Выручка'!CK32*Исх.данные!$B$21</f>
        <v>9164.5918196411276</v>
      </c>
      <c r="CL4" s="72">
        <f>'Продажи и Выручка'!CL32*Исх.данные!$B$21</f>
        <v>8739.207685372503</v>
      </c>
      <c r="CM4" s="72">
        <f>'Продажи и Выручка'!CM32*Исх.данные!$B$21</f>
        <v>10440.744222447003</v>
      </c>
      <c r="CN4" s="72">
        <f>'Продажи и Выручка'!CN32*Исх.данные!$B$21</f>
        <v>12142.280759521504</v>
      </c>
      <c r="CO4" s="72">
        <f>'Продажи и Выручка'!CO32*Исх.данные!$B$21</f>
        <v>14907.277632267565</v>
      </c>
      <c r="CP4" s="72">
        <f>'Продажи и Выручка'!CP32*Исх.данные!$B$21</f>
        <v>18097.658639282254</v>
      </c>
      <c r="CQ4" s="72">
        <f>'Продажи и Выручка'!CQ32*Исх.данные!$B$21</f>
        <v>20649.963444894005</v>
      </c>
      <c r="CR4" s="72">
        <f>'Продажи и Выручка'!CR32*Исх.данные!$B$21</f>
        <v>21500.731713431254</v>
      </c>
      <c r="CS4" s="72">
        <f>'Продажи и Выручка'!CS32*Исх.данные!$B$21</f>
        <v>3847.2901412833144</v>
      </c>
      <c r="CT4" s="72">
        <f>'Продажи и Выручка'!CT32*Исх.данные!$B$21</f>
        <v>2029.7146139282258</v>
      </c>
      <c r="CU4" s="72">
        <f>'Продажи и Выручка'!CU32*Исх.данные!$B$21</f>
        <v>3816.327977856452</v>
      </c>
      <c r="CV4" s="72">
        <f>'Продажи и Выручка'!CV32*Исх.данные!$B$21</f>
        <v>6942.9013647308466</v>
      </c>
      <c r="CW4" s="72">
        <f>'Продажи и Выручка'!CW32*Исх.данные!$B$21</f>
        <v>9622.8214106231844</v>
      </c>
      <c r="CX4" s="72">
        <f>'Продажи и Выручка'!CX32*Исх.данные!$B$21</f>
        <v>9176.1680696411277</v>
      </c>
      <c r="CY4" s="72">
        <f>'Продажи и Выручка'!CY32*Исх.данные!$B$21</f>
        <v>10962.781433569353</v>
      </c>
      <c r="CZ4" s="72">
        <f>'Продажи и Выручка'!CZ32*Исх.данные!$B$21</f>
        <v>12749.39479749758</v>
      </c>
      <c r="DA4" s="72">
        <f>'Продажи и Выручка'!DA32*Исх.данные!$B$21</f>
        <v>15652.641513880946</v>
      </c>
      <c r="DB4" s="72">
        <f>'Продажи и Выручка'!DB32*Исх.данные!$B$21</f>
        <v>19002.541571246369</v>
      </c>
      <c r="DC4" s="72">
        <f>'Продажи и Выручка'!DC32*Исх.данные!$B$21</f>
        <v>21682.461617138706</v>
      </c>
      <c r="DD4" s="72">
        <f>'Продажи и Выручка'!DD32*Исх.данные!$B$21</f>
        <v>22575.76829910282</v>
      </c>
      <c r="DE4" s="72">
        <f>'Продажи и Выручка'!DE32*Исх.данные!$B$21</f>
        <v>4039.6546483474799</v>
      </c>
      <c r="DF4" s="72">
        <f>'Продажи и Выручка'!DF32*Исх.данные!$B$21</f>
        <v>2131.2003446246367</v>
      </c>
      <c r="DG4" s="72">
        <f>'Продажи и Выручка'!DG32*Исх.данные!$B$21</f>
        <v>4007.1443767492738</v>
      </c>
      <c r="DH4" s="72">
        <f>'Продажи и Выручка'!DH32*Исх.данные!$B$21</f>
        <v>7290.0464329673896</v>
      </c>
      <c r="DI4" s="72">
        <f>'Продажи и Выручка'!DI32*Исх.данные!$B$21</f>
        <v>10103.962481154344</v>
      </c>
      <c r="DJ4" s="72">
        <f>'Продажи и Выручка'!DJ32*Исх.данные!$B$21</f>
        <v>9634.9764731231844</v>
      </c>
      <c r="DK4" s="72">
        <f>'Продажи и Выручка'!DK32*Исх.данные!$B$21</f>
        <v>11510.920505247823</v>
      </c>
      <c r="DL4" s="72">
        <f>'Продажи и Выручка'!DL32*Исх.данные!$B$21</f>
        <v>13386.864537372461</v>
      </c>
      <c r="DM4" s="72">
        <f>'Продажи и Выручка'!DM32*Исх.данные!$B$21</f>
        <v>16435.27358957499</v>
      </c>
      <c r="DN4" s="72">
        <f>'Продажи и Выручка'!DN32*Исх.данные!$B$21</f>
        <v>19952.668649808686</v>
      </c>
      <c r="DO4" s="72">
        <f>'Продажи и Выручка'!DO32*Исх.данные!$B$21</f>
        <v>22766.584697995648</v>
      </c>
      <c r="DP4" s="72">
        <f>'Продажи и Выручка'!DP32*Исх.данные!$B$21</f>
        <v>23704.556714057962</v>
      </c>
      <c r="DQ4" s="72">
        <f>'Продажи и Выручка'!DQ32*Исх.данные!$B$21</f>
        <v>4241.6373807648542</v>
      </c>
      <c r="DR4" s="72">
        <f>'Продажи и Выручка'!DR32*Исх.данные!$B$21</f>
        <v>2237.7603618558692</v>
      </c>
      <c r="DS4" s="72">
        <f>'Продажи и Выручка'!DS32*Исх.данные!$B$21</f>
        <v>4207.5015955867384</v>
      </c>
      <c r="DT4" s="72">
        <f>'Продажи и Выручка'!DT32*Исх.данные!$B$21</f>
        <v>7654.5487546157574</v>
      </c>
      <c r="DU4" s="72">
        <f>'Продажи и Выручка'!DU32*Исх.данные!$B$21</f>
        <v>10609.160605212061</v>
      </c>
      <c r="DV4" s="72">
        <f>'Продажи и Выручка'!DV32*Исх.данные!$B$21</f>
        <v>10116.725296779345</v>
      </c>
      <c r="DW4" s="72">
        <f>'Продажи и Выручка'!DW32*Исх.данные!$B$21</f>
        <v>12086.466530510213</v>
      </c>
      <c r="DX4" s="72">
        <f>'Продажи и Выручка'!DX32*Исх.данные!$B$21</f>
        <v>14056.207764241084</v>
      </c>
      <c r="DY4" s="72">
        <f>'Продажи и Выручка'!DY32*Исх.данные!$B$21</f>
        <v>17257.037269053741</v>
      </c>
      <c r="DZ4" s="72">
        <f>'Продажи и Выручка'!DZ32*Исх.данные!$B$21</f>
        <v>20950.302082299124</v>
      </c>
      <c r="EA4" s="72">
        <f>'Продажи и Выручка'!EA32*Исх.данные!$B$21</f>
        <v>23904.913932895426</v>
      </c>
      <c r="EB4" s="72">
        <f>'Продажи и Выручка'!EB32*Исх.данные!$B$21</f>
        <v>24889.784549760858</v>
      </c>
      <c r="EC4" s="72">
        <f>'Продажи и Выручка'!EC32*Исх.данные!$B$21</f>
        <v>4453.7192498030972</v>
      </c>
    </row>
    <row r="5" spans="1:133" s="397" customFormat="1" ht="13.15" customHeight="1">
      <c r="A5" s="396" t="s">
        <v>219</v>
      </c>
      <c r="B5" s="72">
        <f>('Переменные издержки проекта'!E9-'Переменные издержки проекта'!E8)*Исх.данные!$B$21</f>
        <v>0</v>
      </c>
      <c r="C5" s="72">
        <f>('Переменные издержки проекта'!F9-'Переменные издержки проекта'!F8)*Исх.данные!$B$21</f>
        <v>0</v>
      </c>
      <c r="D5" s="72">
        <f>('Переменные издержки проекта'!G9-'Переменные издержки проекта'!G8)*Исх.данные!$B$21</f>
        <v>0</v>
      </c>
      <c r="E5" s="72">
        <f>('Переменные издержки проекта'!H9-'Переменные издержки проекта'!H8)*Исх.данные!$B$21</f>
        <v>0</v>
      </c>
      <c r="F5" s="72">
        <f>('Переменные издержки проекта'!I9-'Переменные издержки проекта'!I8)*Исх.данные!$B$21</f>
        <v>0</v>
      </c>
      <c r="G5" s="72">
        <f>('Переменные издержки проекта'!J9-'Переменные издержки проекта'!J8)*Исх.данные!$B$21</f>
        <v>0</v>
      </c>
      <c r="H5" s="72">
        <f>('Переменные издержки проекта'!K9-'Переменные издержки проекта'!K8)*Исх.данные!$B$21</f>
        <v>0</v>
      </c>
      <c r="I5" s="72">
        <f>('Переменные издержки проекта'!L9-'Переменные издержки проекта'!L8)*Исх.данные!$B$21</f>
        <v>0</v>
      </c>
      <c r="J5" s="72">
        <f>('Переменные издержки проекта'!M9-'Переменные издержки проекта'!M8)*Исх.данные!$B$21</f>
        <v>0</v>
      </c>
      <c r="K5" s="72">
        <f>('Переменные издержки проекта'!N9-'Переменные издержки проекта'!N8)*Исх.данные!$B$21</f>
        <v>0</v>
      </c>
      <c r="L5" s="72">
        <f>('Переменные издержки проекта'!O9-'Переменные издержки проекта'!O8)*Исх.данные!$B$21</f>
        <v>0</v>
      </c>
      <c r="M5" s="72">
        <f>('Переменные издержки проекта'!P9-'Переменные издержки проекта'!P8)*Исх.данные!$B$21</f>
        <v>0</v>
      </c>
      <c r="N5" s="72">
        <f>('Переменные издержки проекта'!Q9-'Переменные издержки проекта'!Q8)*Исх.данные!$B$21</f>
        <v>0</v>
      </c>
      <c r="O5" s="72">
        <f>('Переменные издержки проекта'!R9-'Переменные издержки проекта'!R8)*Исх.данные!$B$21</f>
        <v>0</v>
      </c>
      <c r="P5" s="72">
        <f>('Переменные издержки проекта'!S9-'Переменные издержки проекта'!S8)*Исх.данные!$B$21</f>
        <v>0</v>
      </c>
      <c r="Q5" s="72">
        <f>('Переменные издержки проекта'!T9-'Переменные издержки проекта'!T8)*Исх.данные!$B$21</f>
        <v>0</v>
      </c>
      <c r="R5" s="72">
        <f>('Переменные издержки проекта'!U9-'Переменные издержки проекта'!U8)*Исх.данные!$B$21</f>
        <v>0</v>
      </c>
      <c r="S5" s="72">
        <f>('Переменные издержки проекта'!V9-'Переменные издержки проекта'!V8)*Исх.данные!$B$21</f>
        <v>0</v>
      </c>
      <c r="T5" s="72">
        <f>('Переменные издержки проекта'!W9-'Переменные издержки проекта'!W8)*Исх.данные!$B$21</f>
        <v>0</v>
      </c>
      <c r="U5" s="72">
        <f>('Переменные издержки проекта'!X9-'Переменные издержки проекта'!X8)*Исх.данные!$B$21</f>
        <v>0</v>
      </c>
      <c r="V5" s="72">
        <f>('Переменные издержки проекта'!Y9-'Переменные издержки проекта'!Y8)*Исх.данные!$B$21</f>
        <v>0</v>
      </c>
      <c r="W5" s="72">
        <f>('Переменные издержки проекта'!Z9-'Переменные издержки проекта'!Z8)*Исх.данные!$B$21</f>
        <v>0</v>
      </c>
      <c r="X5" s="72">
        <f>('Переменные издержки проекта'!AA9-'Переменные издержки проекта'!AA8)*Исх.данные!$B$21</f>
        <v>0</v>
      </c>
      <c r="Y5" s="72">
        <f>('Переменные издержки проекта'!AB9-'Переменные издержки проекта'!AB8)*Исх.данные!$B$21</f>
        <v>334.15667500000006</v>
      </c>
      <c r="Z5" s="72">
        <f>('Переменные издержки проекта'!AC9-'Переменные издержки проекта'!AC8)*Исх.данные!$B$21</f>
        <v>220.15028000000001</v>
      </c>
      <c r="AA5" s="72">
        <f>('Переменные издержки проекта'!AD9-'Переменные издержки проекта'!AD8)*Исх.данные!$B$21</f>
        <v>566.10072000000002</v>
      </c>
      <c r="AB5" s="72">
        <f>('Переменные издержки проекта'!AE9-'Переменные издержки проекта'!AE8)*Исх.данные!$B$21</f>
        <v>1415.2518000000002</v>
      </c>
      <c r="AC5" s="72">
        <f>('Переменные издержки проекта'!AF9-'Переменные издержки проекта'!AF8)*Исх.данные!$B$21</f>
        <v>2476.69065</v>
      </c>
      <c r="AD5" s="72">
        <f>('Переменные издержки проекта'!AG9-'Переменные издержки проекта'!AG8)*Исх.данные!$B$21</f>
        <v>2516.0032000000001</v>
      </c>
      <c r="AE5" s="72">
        <f>('Переменные издержки проекта'!AH9-'Переменные издержки проекта'!AH8)*Исх.данные!$B$21</f>
        <v>3019.2038400000006</v>
      </c>
      <c r="AF5" s="72">
        <f>('Переменные издержки проекта'!AI9-'Переменные издержки проекта'!AI8)*Исх.данные!$B$21</f>
        <v>3522.4044800000011</v>
      </c>
      <c r="AG5" s="72">
        <f>('Переменные издержки проекта'!AJ9-'Переменные издержки проекта'!AJ8)*Исх.данные!$B$21</f>
        <v>4340.1055200000001</v>
      </c>
      <c r="AH5" s="72">
        <f>('Переменные издержки проекта'!AK9-'Переменные издержки проекта'!AK8)*Исх.данные!$B$21</f>
        <v>5283.6067200000007</v>
      </c>
      <c r="AI5" s="72">
        <f>('Переменные издержки проекта'!AL9-'Переменные издержки проекта'!AL8)*Исх.данные!$B$21</f>
        <v>6038.4076800000012</v>
      </c>
      <c r="AJ5" s="72">
        <f>('Переменные издержки проекта'!AM9-'Переменные издержки проекта'!AM8)*Исх.данные!$B$21</f>
        <v>6290.0079999999998</v>
      </c>
      <c r="AK5" s="72">
        <f>('Переменные издержки проекта'!AN9-'Переменные издержки проекта'!AN8)*Исх.данные!$B$21</f>
        <v>1336.6267000000003</v>
      </c>
      <c r="AL5" s="72">
        <f>('Переменные издержки проекта'!AO9-'Переменные издержки проекта'!AO8)*Исх.данные!$B$21</f>
        <v>647.87082399999997</v>
      </c>
      <c r="AM5" s="72">
        <f>('Переменные издержки проекта'!AP9-'Переменные издержки проекта'!AP8)*Исх.данные!$B$21</f>
        <v>1295.7416479999999</v>
      </c>
      <c r="AN5" s="72">
        <f>('Переменные издержки проекта'!AQ9-'Переменные издержки проекта'!AQ8)*Исх.данные!$B$21</f>
        <v>2429.5155900000004</v>
      </c>
      <c r="AO5" s="72">
        <f>('Переменные издержки проекта'!AR9-'Переменные издержки проекта'!AR8)*Исх.данные!$B$21</f>
        <v>3401.3218260000003</v>
      </c>
      <c r="AP5" s="72">
        <f>('Переменные издержки проекта'!AS9-'Переменные издержки проекта'!AS8)*Исх.данные!$B$21</f>
        <v>3239.3541200000004</v>
      </c>
      <c r="AQ5" s="72">
        <f>('Переменные издержки проекта'!AT9-'Переменные издержки проекта'!AT8)*Исх.данные!$B$21</f>
        <v>3887.2249440000005</v>
      </c>
      <c r="AR5" s="72">
        <f>('Переменные издержки проекта'!AU9-'Переменные издержки проекта'!AU8)*Исх.данные!$B$21</f>
        <v>4535.095768000002</v>
      </c>
      <c r="AS5" s="72">
        <f>('Переменные издержки проекта'!AV9-'Переменные издержки проекта'!AV8)*Исх.данные!$B$21</f>
        <v>5587.8858570000002</v>
      </c>
      <c r="AT5" s="72">
        <f>('Переменные издержки проекта'!AW9-'Переменные издержки проекта'!AW8)*Исх.данные!$B$21</f>
        <v>6802.6436520000007</v>
      </c>
      <c r="AU5" s="72">
        <f>('Переменные издержки проекта'!AX9-'Переменные издержки проекта'!AX8)*Исх.данные!$B$21</f>
        <v>7774.449888000001</v>
      </c>
      <c r="AV5" s="72">
        <f>('Переменные издержки проекта'!AY9-'Переменные издержки проекта'!AY8)*Исх.данные!$B$21</f>
        <v>8098.3853000000017</v>
      </c>
      <c r="AW5" s="72">
        <f>('Переменные издержки проекта'!AZ9-'Переменные издержки проекта'!AZ8)*Исх.данные!$B$21</f>
        <v>1376.7255010000003</v>
      </c>
      <c r="AX5" s="72">
        <f>('Переменные издержки проекта'!BA9-'Переменные издержки проекта'!BA8)*Исх.данные!$B$21</f>
        <v>667.30694872000026</v>
      </c>
      <c r="AY5" s="72">
        <f>('Переменные издержки проекта'!BB9-'Переменные издержки проекта'!BB8)*Исх.данные!$B$21</f>
        <v>1334.6138974400003</v>
      </c>
      <c r="AZ5" s="72">
        <f>('Переменные издержки проекта'!BC9-'Переменные издержки проекта'!BC8)*Исх.данные!$B$21</f>
        <v>2502.4010577000004</v>
      </c>
      <c r="BA5" s="72">
        <f>('Переменные издержки проекта'!BD9-'Переменные издержки проекта'!BD8)*Исх.данные!$B$21</f>
        <v>3503.3614807800004</v>
      </c>
      <c r="BB5" s="72">
        <f>('Переменные издержки проекта'!BE9-'Переменные издержки проекта'!BE8)*Исх.данные!$B$21</f>
        <v>3336.5347436000002</v>
      </c>
      <c r="BC5" s="72">
        <f>('Переменные издержки проекта'!BF9-'Переменные издержки проекта'!BF8)*Исх.данные!$B$21</f>
        <v>4003.8416923200007</v>
      </c>
      <c r="BD5" s="72">
        <f>('Переменные издержки проекта'!BG9-'Переменные издержки проекта'!BG8)*Исх.данные!$B$21</f>
        <v>4671.1486410400012</v>
      </c>
      <c r="BE5" s="72">
        <f>('Переменные издержки проекта'!BH9-'Переменные издержки проекта'!BH8)*Исх.данные!$B$21</f>
        <v>5755.5224327099995</v>
      </c>
      <c r="BF5" s="72">
        <f>('Переменные издержки проекта'!BI9-'Переменные издержки проекта'!BI8)*Исх.данные!$B$21</f>
        <v>7006.7229615600008</v>
      </c>
      <c r="BG5" s="72">
        <f>('Переменные издержки проекта'!BJ9-'Переменные издержки проекта'!BJ8)*Исх.данные!$B$21</f>
        <v>8007.6833846400013</v>
      </c>
      <c r="BH5" s="72">
        <f>('Переменные издержки проекта'!BK9-'Переменные издержки проекта'!BK8)*Исх.данные!$B$21</f>
        <v>8341.3368590000009</v>
      </c>
      <c r="BI5" s="72">
        <f>('Переменные издержки проекта'!BL9-'Переменные издержки проекта'!BL8)*Исх.данные!$B$21</f>
        <v>1418.0272660300004</v>
      </c>
      <c r="BJ5" s="72">
        <f>('Переменные издержки проекта'!BM9-'Переменные издержки проекта'!BM8)*Исх.данные!$B$21</f>
        <v>687.32615718159991</v>
      </c>
      <c r="BK5" s="72">
        <f>('Переменные издержки проекта'!BN9-'Переменные издержки проекта'!BN8)*Исх.данные!$B$21</f>
        <v>1374.6523143632</v>
      </c>
      <c r="BL5" s="72">
        <f>('Переменные издержки проекта'!BO9-'Переменные издержки проекта'!BO8)*Исх.данные!$B$21</f>
        <v>2577.4730894310001</v>
      </c>
      <c r="BM5" s="72">
        <f>('Переменные издержки проекта'!BP9-'Переменные издержки проекта'!BP8)*Исх.данные!$B$21</f>
        <v>3608.4623252034003</v>
      </c>
      <c r="BN5" s="72">
        <f>('Переменные издержки проекта'!BQ9-'Переменные издержки проекта'!BQ8)*Исх.данные!$B$21</f>
        <v>3436.6307859080011</v>
      </c>
      <c r="BO5" s="72">
        <f>('Переменные издержки проекта'!BR9-'Переменные издержки проекта'!BR8)*Исх.данные!$B$21</f>
        <v>4123.9569430896017</v>
      </c>
      <c r="BP5" s="72">
        <f>('Переменные издержки проекта'!BS9-'Переменные издержки проекта'!BS8)*Исх.данные!$B$21</f>
        <v>4811.2831002712019</v>
      </c>
      <c r="BQ5" s="72">
        <f>('Переменные издержки проекта'!BT9-'Переменные издержки проекта'!BT8)*Исх.данные!$B$21</f>
        <v>5928.1881056913026</v>
      </c>
      <c r="BR5" s="72">
        <f>('Переменные издержки проекта'!BU9-'Переменные издержки проекта'!BU8)*Исх.данные!$B$21</f>
        <v>7216.9246504068005</v>
      </c>
      <c r="BS5" s="72">
        <f>('Переменные издержки проекта'!BV9-'Переменные издержки проекта'!BV8)*Исх.данные!$B$21</f>
        <v>8247.9138861792035</v>
      </c>
      <c r="BT5" s="72">
        <f>('Переменные издержки проекта'!BW9-'Переменные издержки проекта'!BW8)*Исх.данные!$B$21</f>
        <v>8591.5769647700017</v>
      </c>
      <c r="BU5" s="72">
        <f>('Переменные издержки проекта'!BX9-'Переменные издержки проекта'!BX8)*Исх.данные!$B$21</f>
        <v>1460.5680840109005</v>
      </c>
      <c r="BV5" s="72">
        <f>('Переменные издержки проекта'!BY9-'Переменные издержки проекта'!BY8)*Исх.данные!$B$21</f>
        <v>707.9459418970481</v>
      </c>
      <c r="BW5" s="72">
        <f>('Переменные издержки проекта'!BZ9-'Переменные издержки проекта'!BZ8)*Исх.данные!$B$21</f>
        <v>1415.8918837940962</v>
      </c>
      <c r="BX5" s="72">
        <f>('Переменные издержки проекта'!CA9-'Переменные издержки проекта'!CA8)*Исх.данные!$B$21</f>
        <v>2654.7972821139306</v>
      </c>
      <c r="BY5" s="72">
        <f>('Переменные издержки проекта'!CB9-'Переменные издержки проекта'!CB8)*Исх.данные!$B$21</f>
        <v>3716.7161949595034</v>
      </c>
      <c r="BZ5" s="72">
        <f>('Переменные издержки проекта'!CC9-'Переменные издержки проекта'!CC8)*Исх.данные!$B$21</f>
        <v>3539.729709485242</v>
      </c>
      <c r="CA5" s="72">
        <f>('Переменные издержки проекта'!CD9-'Переменные издержки проекта'!CD8)*Исх.данные!$B$21</f>
        <v>4247.6756513822893</v>
      </c>
      <c r="CB5" s="72">
        <f>('Переменные издержки проекта'!CE9-'Переменные издержки проекта'!CE8)*Исх.данные!$B$21</f>
        <v>4955.6215932793393</v>
      </c>
      <c r="CC5" s="72">
        <f>('Переменные издержки проекта'!CF9-'Переменные издержки проекта'!CF8)*Исх.данные!$B$21</f>
        <v>6106.0337488620407</v>
      </c>
      <c r="CD5" s="72">
        <f>('Переменные издержки проекта'!CG9-'Переменные издержки проекта'!CG8)*Исх.данные!$B$21</f>
        <v>7433.4323899190058</v>
      </c>
      <c r="CE5" s="72">
        <f>('Переменные издержки проекта'!CH9-'Переменные издержки проекта'!CH8)*Исх.данные!$B$21</f>
        <v>8495.3513027645786</v>
      </c>
      <c r="CF5" s="72">
        <f>('Переменные издержки проекта'!CI9-'Переменные издержки проекта'!CI8)*Исх.данные!$B$21</f>
        <v>8849.3242737131022</v>
      </c>
      <c r="CG5" s="72">
        <f>('Переменные издержки проекта'!CJ9-'Переменные издержки проекта'!CJ8)*Исх.данные!$B$21</f>
        <v>1504.3851265312276</v>
      </c>
      <c r="CH5" s="72">
        <f>('Переменные издержки проекта'!CK9-'Переменные издержки проекта'!CK8)*Исх.данные!$B$21</f>
        <v>729.18432015395967</v>
      </c>
      <c r="CI5" s="72">
        <f>('Переменные издержки проекта'!CL9-'Переменные издержки проекта'!CL8)*Исх.данные!$B$21</f>
        <v>1458.3686403079193</v>
      </c>
      <c r="CJ5" s="72">
        <f>('Переменные издержки проекта'!CM9-'Переменные издержки проекта'!CM8)*Исх.данные!$B$21</f>
        <v>2734.4412005773488</v>
      </c>
      <c r="CK5" s="72">
        <f>('Переменные издержки проекта'!CN9-'Переменные издержки проекта'!CN8)*Исх.данные!$B$21</f>
        <v>3828.2176808082882</v>
      </c>
      <c r="CL5" s="72">
        <f>('Переменные издержки проекта'!CO9-'Переменные издержки проекта'!CO8)*Исх.данные!$B$21</f>
        <v>3645.9216007697996</v>
      </c>
      <c r="CM5" s="72">
        <f>('Переменные издержки проекта'!CP9-'Переменные издержки проекта'!CP8)*Исх.данные!$B$21</f>
        <v>4375.1059209237592</v>
      </c>
      <c r="CN5" s="72">
        <f>('Переменные издержки проекта'!CQ9-'Переменные издержки проекта'!CQ8)*Исх.данные!$B$21</f>
        <v>5104.2902410777187</v>
      </c>
      <c r="CO5" s="72">
        <f>('Переменные издержки проекта'!CR9-'Переменные издержки проекта'!CR8)*Исх.данные!$B$21</f>
        <v>6289.2147613279021</v>
      </c>
      <c r="CP5" s="72">
        <f>('Переменные издержки проекта'!CS9-'Переменные издержки проекта'!CS8)*Исх.данные!$B$21</f>
        <v>7656.4353616165763</v>
      </c>
      <c r="CQ5" s="72">
        <f>('Переменные издержки проекта'!CT9-'Переменные издержки проекта'!CT8)*Исх.данные!$B$21</f>
        <v>8750.2118418475166</v>
      </c>
      <c r="CR5" s="72">
        <f>('Переменные издержки проекта'!CU9-'Переменные издержки проекта'!CU8)*Исх.данные!$B$21</f>
        <v>9114.8040019244963</v>
      </c>
      <c r="CS5" s="72">
        <f>('Переменные издержки проекта'!CV9-'Переменные издержки проекта'!CV8)*Исх.данные!$B$21</f>
        <v>1549.5166803271645</v>
      </c>
      <c r="CT5" s="72">
        <f>('Переменные издержки проекта'!CW9-'Переменные издержки проекта'!CW8)*Исх.данные!$B$21</f>
        <v>751.05984975857848</v>
      </c>
      <c r="CU5" s="72">
        <f>('Переменные издержки проекта'!CX9-'Переменные издержки проекта'!CX8)*Исх.данные!$B$21</f>
        <v>1502.119699517157</v>
      </c>
      <c r="CV5" s="72">
        <f>('Переменные издержки проекта'!CY9-'Переменные издержки проекта'!CY8)*Исх.данные!$B$21</f>
        <v>2816.4744365946694</v>
      </c>
      <c r="CW5" s="72">
        <f>('Переменные издержки проекта'!CZ9-'Переменные издержки проекта'!CZ8)*Исх.данные!$B$21</f>
        <v>3943.0642112325372</v>
      </c>
      <c r="CX5" s="72">
        <f>('Переменные издержки проекта'!DA9-'Переменные издержки проекта'!DA8)*Исх.данные!$B$21</f>
        <v>3755.2992487928932</v>
      </c>
      <c r="CY5" s="72">
        <f>('Переменные издержки проекта'!DB9-'Переменные издержки проекта'!DB8)*Исх.данные!$B$21</f>
        <v>4506.3590985514711</v>
      </c>
      <c r="CZ5" s="72">
        <f>('Переменные издержки проекта'!DC9-'Переменные издержки проекта'!DC8)*Исх.данные!$B$21</f>
        <v>5257.418948310049</v>
      </c>
      <c r="DA5" s="72">
        <f>('Переменные издержки проекта'!DD9-'Переменные издержки проекта'!DD8)*Исх.данные!$B$21</f>
        <v>6477.8912041677386</v>
      </c>
      <c r="DB5" s="72">
        <f>('Переменные издержки проекта'!DE9-'Переменные издержки проекта'!DE8)*Исх.данные!$B$21</f>
        <v>7886.1284224650744</v>
      </c>
      <c r="DC5" s="72">
        <f>('Переменные издержки проекта'!DF9-'Переменные издержки проекта'!DF8)*Исх.данные!$B$21</f>
        <v>9012.7181971029422</v>
      </c>
      <c r="DD5" s="72">
        <f>('Переменные издержки проекта'!DG9-'Переменные издержки проекта'!DG8)*Исх.данные!$B$21</f>
        <v>9388.2481219822312</v>
      </c>
      <c r="DE5" s="72">
        <f>('Переменные издержки проекта'!DH9-'Переменные издержки проекта'!DH8)*Исх.данные!$B$21</f>
        <v>1596.0021807369792</v>
      </c>
      <c r="DF5" s="72">
        <f>('Переменные издержки проекта'!DI9-'Переменные издержки проекта'!DI8)*Исх.данные!$B$21</f>
        <v>773.59164525133576</v>
      </c>
      <c r="DG5" s="72">
        <f>('Переменные издержки проекта'!DJ9-'Переменные издержки проекта'!DJ8)*Исх.данные!$B$21</f>
        <v>1547.1832905026715</v>
      </c>
      <c r="DH5" s="72">
        <f>('Переменные издержки проекта'!DK9-'Переменные издержки проекта'!DK8)*Исх.данные!$B$21</f>
        <v>2900.9686696925096</v>
      </c>
      <c r="DI5" s="72">
        <f>('Переменные издержки проекта'!DL9-'Переменные издержки проекта'!DL8)*Исх.данные!$B$21</f>
        <v>4061.356137569514</v>
      </c>
      <c r="DJ5" s="72">
        <f>('Переменные издержки проекта'!DM9-'Переменные издержки проекта'!DM8)*Исх.данные!$B$21</f>
        <v>3867.9582262566792</v>
      </c>
      <c r="DK5" s="72">
        <f>('Переменные издержки проекта'!DN9-'Переменные издержки проекта'!DN8)*Исх.данные!$B$21</f>
        <v>4641.5498715080157</v>
      </c>
      <c r="DL5" s="72">
        <f>('Переменные издержки проекта'!DO9-'Переменные издержки проекта'!DO8)*Исх.данные!$B$21</f>
        <v>5415.1415167593523</v>
      </c>
      <c r="DM5" s="72">
        <f>('Переменные издержки проекта'!DP9-'Переменные издержки проекта'!DP8)*Исх.данные!$B$21</f>
        <v>6672.2279402927716</v>
      </c>
      <c r="DN5" s="72">
        <f>('Переменные издержки проекта'!DQ9-'Переменные издержки проекта'!DQ8)*Исх.данные!$B$21</f>
        <v>8122.712275139027</v>
      </c>
      <c r="DO5" s="72">
        <f>('Переменные издержки проекта'!DR9-'Переменные издержки проекта'!DR8)*Исх.данные!$B$21</f>
        <v>9283.0997430160314</v>
      </c>
      <c r="DP5" s="72">
        <f>('Переменные издержки проекта'!DS9-'Переменные издержки проекта'!DS8)*Исх.данные!$B$21</f>
        <v>9669.8955656416983</v>
      </c>
      <c r="DQ5" s="72">
        <f>('Переменные издержки проекта'!DT9-'Переменные издержки проекта'!DT8)*Исх.данные!$B$21</f>
        <v>1643.8822461590887</v>
      </c>
      <c r="DR5" s="72">
        <f>('Переменные издержки проекта'!DU9-'Переменные издержки проекта'!DU8)*Исх.данные!$B$21</f>
        <v>796.79939460887579</v>
      </c>
      <c r="DS5" s="72">
        <f>('Переменные издержки проекта'!DV9-'Переменные издержки проекта'!DV8)*Исх.данные!$B$21</f>
        <v>1593.598789217752</v>
      </c>
      <c r="DT5" s="72">
        <f>('Переменные издержки проекта'!DW9-'Переменные издержки проекта'!DW8)*Исх.данные!$B$21</f>
        <v>2987.9977297832843</v>
      </c>
      <c r="DU5" s="72">
        <f>('Переменные издержки проекта'!DX9-'Переменные издержки проекта'!DX8)*Исх.данные!$B$21</f>
        <v>4183.1968216965988</v>
      </c>
      <c r="DV5" s="72">
        <f>('Переменные издержки проекта'!DY9-'Переменные издержки проекта'!DY8)*Исх.данные!$B$21</f>
        <v>3983.99697304438</v>
      </c>
      <c r="DW5" s="72">
        <f>('Переменные издержки проекта'!DZ9-'Переменные издержки проекта'!DZ8)*Исх.данные!$B$21</f>
        <v>4780.7963676532563</v>
      </c>
      <c r="DX5" s="72">
        <f>('Переменные издержки проекта'!EA9-'Переменные издержки проекта'!EA8)*Исх.данные!$B$21</f>
        <v>5577.5957622621327</v>
      </c>
      <c r="DY5" s="72">
        <f>('Переменные издержки проекта'!EB9-'Переменные издержки проекта'!EB8)*Исх.данные!$B$21</f>
        <v>6872.3947785015553</v>
      </c>
      <c r="DZ5" s="72">
        <f>('Переменные издержки проекта'!EC9-'Переменные издержки проекта'!EC8)*Исх.данные!$B$21</f>
        <v>8366.3936433931976</v>
      </c>
      <c r="EA5" s="72">
        <f>('Переменные издержки проекта'!ED9-'Переменные издержки проекта'!ED8)*Исх.данные!$B$21</f>
        <v>9561.5927353065126</v>
      </c>
      <c r="EB5" s="72">
        <f>('Переменные издержки проекта'!EE9-'Переменные издержки проекта'!EE8)*Исх.данные!$B$21</f>
        <v>9959.9924326109503</v>
      </c>
      <c r="EC5" s="72">
        <f>('Переменные издержки проекта'!EF9-'Переменные издержки проекта'!EF8)*Исх.данные!$B$21</f>
        <v>1693.1987135438615</v>
      </c>
    </row>
    <row r="6" spans="1:133" s="397" customFormat="1" ht="13.15" customHeight="1">
      <c r="A6" s="396" t="s">
        <v>200</v>
      </c>
      <c r="B6" s="72">
        <f>('Постоянные издержки проекта'!E16-'Постоянные издержки проекта'!E15)*Исх.данные!$B$21</f>
        <v>0</v>
      </c>
      <c r="C6" s="72">
        <f>('Постоянные издержки проекта'!F16-'Постоянные издержки проекта'!F15)*Исх.данные!$B$21</f>
        <v>0</v>
      </c>
      <c r="D6" s="72">
        <f>('Постоянные издержки проекта'!G16-'Постоянные издержки проекта'!G15)*Исх.данные!$B$21</f>
        <v>0</v>
      </c>
      <c r="E6" s="72">
        <f>('Постоянные издержки проекта'!H16-'Постоянные издержки проекта'!H15)*Исх.данные!$B$21</f>
        <v>0</v>
      </c>
      <c r="F6" s="72">
        <f>('Постоянные издержки проекта'!I16-'Постоянные издержки проекта'!I15)*Исх.данные!$B$21</f>
        <v>0</v>
      </c>
      <c r="G6" s="72">
        <f>('Постоянные издержки проекта'!J16-'Постоянные издержки проекта'!J15)*Исх.данные!$B$21</f>
        <v>0</v>
      </c>
      <c r="H6" s="72">
        <f>('Постоянные издержки проекта'!K16-'Постоянные издержки проекта'!K15)*Исх.данные!$B$21</f>
        <v>0</v>
      </c>
      <c r="I6" s="72">
        <f>('Постоянные издержки проекта'!L16-'Постоянные издержки проекта'!L15)*Исх.данные!$B$21</f>
        <v>0</v>
      </c>
      <c r="J6" s="72">
        <f>('Постоянные издержки проекта'!M16-'Постоянные издержки проекта'!M15)*Исх.данные!$B$21</f>
        <v>0</v>
      </c>
      <c r="K6" s="72">
        <f>('Постоянные издержки проекта'!N16-'Постоянные издержки проекта'!N15)*Исх.данные!$B$21</f>
        <v>0</v>
      </c>
      <c r="L6" s="72">
        <f>('Постоянные издержки проекта'!O16-'Постоянные издержки проекта'!O15)*Исх.данные!$B$21</f>
        <v>0</v>
      </c>
      <c r="M6" s="72">
        <f>('Постоянные издержки проекта'!P16-'Постоянные издержки проекта'!P15)*Исх.данные!$B$21</f>
        <v>0</v>
      </c>
      <c r="N6" s="72">
        <f>('Постоянные издержки проекта'!Q16-'Постоянные издержки проекта'!Q15)*Исх.данные!$B$21</f>
        <v>0</v>
      </c>
      <c r="O6" s="72">
        <f>('Постоянные издержки проекта'!R16-'Постоянные издержки проекта'!R15)*Исх.данные!$B$21</f>
        <v>0</v>
      </c>
      <c r="P6" s="72">
        <f>('Постоянные издержки проекта'!S16-'Постоянные издержки проекта'!S15)*Исх.данные!$B$21</f>
        <v>0</v>
      </c>
      <c r="Q6" s="72">
        <f>('Постоянные издержки проекта'!T16-'Постоянные издержки проекта'!T15)*Исх.данные!$B$21</f>
        <v>0</v>
      </c>
      <c r="R6" s="72">
        <f>('Постоянные издержки проекта'!U16-'Постоянные издержки проекта'!U15)*Исх.данные!$B$21</f>
        <v>0</v>
      </c>
      <c r="S6" s="72">
        <f>('Постоянные издержки проекта'!V16-'Постоянные издержки проекта'!V15)*Исх.данные!$B$21</f>
        <v>0</v>
      </c>
      <c r="T6" s="72">
        <f>('Постоянные издержки проекта'!W16-'Постоянные издержки проекта'!W15)*Исх.данные!$B$21</f>
        <v>0</v>
      </c>
      <c r="U6" s="72">
        <f>('Постоянные издержки проекта'!X16-'Постоянные издержки проекта'!X15)*Исх.данные!$B$21</f>
        <v>0</v>
      </c>
      <c r="V6" s="72">
        <f>('Постоянные издержки проекта'!Y16-'Постоянные издержки проекта'!Y15)*Исх.данные!$B$21</f>
        <v>0</v>
      </c>
      <c r="W6" s="72">
        <f>('Постоянные издержки проекта'!Z16-'Постоянные издержки проекта'!Z15)*Исх.данные!$B$21</f>
        <v>0</v>
      </c>
      <c r="X6" s="72">
        <f>('Постоянные издержки проекта'!AA16-'Постоянные издержки проекта'!AA15)*Исх.данные!$B$21</f>
        <v>52.166666666666671</v>
      </c>
      <c r="Y6" s="72">
        <f>('Постоянные издержки проекта'!AB16-'Постоянные издержки проекта'!AB15)*Исх.данные!$B$21</f>
        <v>1484.9996666666668</v>
      </c>
      <c r="Z6" s="72">
        <f>('Постоянные издержки проекта'!AC16-'Постоянные издержки проекта'!AC15)*Исх.данные!$B$21</f>
        <v>1484.9996666666668</v>
      </c>
      <c r="AA6" s="72">
        <f>('Постоянные издержки проекта'!AD16-'Постоянные издержки проекта'!AD15)*Исх.данные!$B$21</f>
        <v>1484.9996666666668</v>
      </c>
      <c r="AB6" s="72">
        <f>('Постоянные издержки проекта'!AE16-'Постоянные издержки проекта'!AE15)*Исх.данные!$B$21</f>
        <v>1484.9996666666668</v>
      </c>
      <c r="AC6" s="72">
        <f>('Постоянные издержки проекта'!AF16-'Постоянные издержки проекта'!AF15)*Исх.данные!$B$21</f>
        <v>1484.9996666666668</v>
      </c>
      <c r="AD6" s="72">
        <f>('Постоянные издержки проекта'!AG16-'Постоянные издержки проекта'!AG15)*Исх.данные!$B$21</f>
        <v>1484.9996666666668</v>
      </c>
      <c r="AE6" s="72">
        <f>('Постоянные издержки проекта'!AH16-'Постоянные издержки проекта'!AH15)*Исх.данные!$B$21</f>
        <v>1484.9996666666668</v>
      </c>
      <c r="AF6" s="72">
        <f>('Постоянные издержки проекта'!AI16-'Постоянные издержки проекта'!AI15)*Исх.данные!$B$21</f>
        <v>1484.9996666666668</v>
      </c>
      <c r="AG6" s="72">
        <f>('Постоянные издержки проекта'!AJ16-'Постоянные издержки проекта'!AJ15)*Исх.данные!$B$21</f>
        <v>1484.9996666666668</v>
      </c>
      <c r="AH6" s="72">
        <f>('Постоянные издержки проекта'!AK16-'Постоянные издержки проекта'!AK15)*Исх.данные!$B$21</f>
        <v>1484.9996666666668</v>
      </c>
      <c r="AI6" s="72">
        <f>('Постоянные издержки проекта'!AL16-'Постоянные издержки проекта'!AL15)*Исх.данные!$B$21</f>
        <v>1484.9996666666668</v>
      </c>
      <c r="AJ6" s="72">
        <f>('Постоянные издержки проекта'!AM16-'Постоянные издержки проекта'!AM15)*Исх.данные!$B$21</f>
        <v>1504.1663333333333</v>
      </c>
      <c r="AK6" s="72">
        <f>('Постоянные издержки проекта'!AN16-'Постоянные издержки проекта'!AN15)*Исх.данные!$B$21</f>
        <v>1504.1663333333333</v>
      </c>
      <c r="AL6" s="72">
        <f>('Постоянные издержки проекта'!AO16-'Постоянные издержки проекта'!AO15)*Исх.данные!$B$21</f>
        <v>1653.4329666666667</v>
      </c>
      <c r="AM6" s="72">
        <f>('Постоянные издержки проекта'!AP16-'Постоянные издержки проекта'!AP15)*Исх.данные!$B$21</f>
        <v>1653.4329666666667</v>
      </c>
      <c r="AN6" s="72">
        <f>('Постоянные издержки проекта'!AQ16-'Постоянные издержки проекта'!AQ15)*Исх.данные!$B$21</f>
        <v>1653.4329666666667</v>
      </c>
      <c r="AO6" s="72">
        <f>('Постоянные издержки проекта'!AR16-'Постоянные издержки проекта'!AR15)*Исх.данные!$B$21</f>
        <v>1653.4329666666667</v>
      </c>
      <c r="AP6" s="72">
        <f>('Постоянные издержки проекта'!AS16-'Постоянные издержки проекта'!AS15)*Исх.данные!$B$21</f>
        <v>1653.4329666666667</v>
      </c>
      <c r="AQ6" s="72">
        <f>('Постоянные издержки проекта'!AT16-'Постоянные издержки проекта'!AT15)*Исх.данные!$B$21</f>
        <v>1653.4329666666667</v>
      </c>
      <c r="AR6" s="72">
        <f>('Постоянные издержки проекта'!AU16-'Постоянные издержки проекта'!AU15)*Исх.данные!$B$21</f>
        <v>1653.4329666666667</v>
      </c>
      <c r="AS6" s="72">
        <f>('Постоянные издержки проекта'!AV16-'Постоянные издержки проекта'!AV15)*Исх.данные!$B$21</f>
        <v>1653.4329666666667</v>
      </c>
      <c r="AT6" s="72">
        <f>('Постоянные издержки проекта'!AW16-'Постоянные издержки проекта'!AW15)*Исх.данные!$B$21</f>
        <v>1653.4329666666667</v>
      </c>
      <c r="AU6" s="72">
        <f>('Постоянные издержки проекта'!AX16-'Постоянные издержки проекта'!AX15)*Исх.данные!$B$21</f>
        <v>1653.4329666666667</v>
      </c>
      <c r="AV6" s="72">
        <f>('Постоянные издержки проекта'!AY16-'Постоянные издержки проекта'!AY15)*Исх.данные!$B$21</f>
        <v>1653.4329666666667</v>
      </c>
      <c r="AW6" s="72">
        <f>('Постоянные издержки проекта'!AZ16-'Постоянные издержки проекта'!AZ15)*Исх.данные!$B$21</f>
        <v>1653.4329666666667</v>
      </c>
      <c r="AX6" s="72">
        <f>('Постоянные издержки проекта'!BA16-'Постоянные издержки проекта'!BA15)*Исх.данные!$B$21</f>
        <v>1817.5457633333335</v>
      </c>
      <c r="AY6" s="72">
        <f>('Постоянные издержки проекта'!BB16-'Постоянные издержки проекта'!BB15)*Исх.данные!$B$21</f>
        <v>1817.5457633333335</v>
      </c>
      <c r="AZ6" s="72">
        <f>('Постоянные издержки проекта'!BC16-'Постоянные издержки проекта'!BC15)*Исх.данные!$B$21</f>
        <v>1817.5457633333335</v>
      </c>
      <c r="BA6" s="72">
        <f>('Постоянные издержки проекта'!BD16-'Постоянные издержки проекта'!BD15)*Исх.данные!$B$21</f>
        <v>1817.5457633333335</v>
      </c>
      <c r="BB6" s="72">
        <f>('Постоянные издержки проекта'!BE16-'Постоянные издержки проекта'!BE15)*Исх.данные!$B$21</f>
        <v>1817.5457633333335</v>
      </c>
      <c r="BC6" s="72">
        <f>('Постоянные издержки проекта'!BF16-'Постоянные издержки проекта'!BF15)*Исх.данные!$B$21</f>
        <v>1817.5457633333335</v>
      </c>
      <c r="BD6" s="72">
        <f>('Постоянные издержки проекта'!BG16-'Постоянные издержки проекта'!BG15)*Исх.данные!$B$21</f>
        <v>1817.5457633333335</v>
      </c>
      <c r="BE6" s="72">
        <f>('Постоянные издержки проекта'!BH16-'Постоянные издержки проекта'!BH15)*Исх.данные!$B$21</f>
        <v>1817.5457633333335</v>
      </c>
      <c r="BF6" s="72">
        <f>('Постоянные издержки проекта'!BI16-'Постоянные издержки проекта'!BI15)*Исх.данные!$B$21</f>
        <v>1817.5457633333335</v>
      </c>
      <c r="BG6" s="72">
        <f>('Постоянные издержки проекта'!BJ16-'Постоянные издержки проекта'!BJ15)*Исх.данные!$B$21</f>
        <v>1817.5457633333335</v>
      </c>
      <c r="BH6" s="72">
        <f>('Постоянные издержки проекта'!BK16-'Постоянные издержки проекта'!BK15)*Исх.данные!$B$21</f>
        <v>1817.5457633333335</v>
      </c>
      <c r="BI6" s="72">
        <f>('Постоянные издержки проекта'!BL16-'Постоянные издержки проекта'!BL15)*Исх.данные!$B$21</f>
        <v>1817.5457633333335</v>
      </c>
      <c r="BJ6" s="72">
        <f>('Постоянные издержки проекта'!BM16-'Постоянные издержки проекта'!BM15)*Исх.данные!$B$21</f>
        <v>1997.9837046666671</v>
      </c>
      <c r="BK6" s="72">
        <f>('Постоянные издержки проекта'!BN16-'Постоянные издержки проекта'!BN15)*Исх.данные!$B$21</f>
        <v>1997.9837046666671</v>
      </c>
      <c r="BL6" s="72">
        <f>('Постоянные издержки проекта'!BO16-'Постоянные издержки проекта'!BO15)*Исх.данные!$B$21</f>
        <v>1997.9837046666671</v>
      </c>
      <c r="BM6" s="72">
        <f>('Постоянные издержки проекта'!BP16-'Постоянные издержки проекта'!BP15)*Исх.данные!$B$21</f>
        <v>1997.9837046666671</v>
      </c>
      <c r="BN6" s="72">
        <f>('Постоянные издержки проекта'!BQ16-'Постоянные издержки проекта'!BQ15)*Исх.данные!$B$21</f>
        <v>1997.9837046666671</v>
      </c>
      <c r="BO6" s="72">
        <f>('Постоянные издержки проекта'!BR16-'Постоянные издержки проекта'!BR15)*Исх.данные!$B$21</f>
        <v>1997.9837046666671</v>
      </c>
      <c r="BP6" s="72">
        <f>('Постоянные издержки проекта'!BS16-'Постоянные издержки проекта'!BS15)*Исх.данные!$B$21</f>
        <v>1997.9837046666671</v>
      </c>
      <c r="BQ6" s="72">
        <f>('Постоянные издержки проекта'!BT16-'Постоянные издержки проекта'!BT15)*Исх.данные!$B$21</f>
        <v>1997.9837046666671</v>
      </c>
      <c r="BR6" s="72">
        <f>('Постоянные издержки проекта'!BU16-'Постоянные издержки проекта'!BU15)*Исх.данные!$B$21</f>
        <v>1997.9837046666671</v>
      </c>
      <c r="BS6" s="72">
        <f>('Постоянные издержки проекта'!BV16-'Постоянные издержки проекта'!BV15)*Исх.данные!$B$21</f>
        <v>1997.9837046666671</v>
      </c>
      <c r="BT6" s="72">
        <f>('Постоянные издержки проекта'!BW16-'Постоянные издержки проекта'!BW15)*Исх.данные!$B$21</f>
        <v>1997.9837046666671</v>
      </c>
      <c r="BU6" s="72">
        <f>('Постоянные издержки проекта'!BX16-'Постоянные издержки проекта'!BX15)*Исх.данные!$B$21</f>
        <v>1997.9837046666671</v>
      </c>
      <c r="BV6" s="72">
        <f>('Постоянные издержки проекта'!BY16-'Постоянные издержки проекта'!BY15)*Исх.данные!$B$21</f>
        <v>2196.3732756833338</v>
      </c>
      <c r="BW6" s="72">
        <f>('Постоянные издержки проекта'!BZ16-'Постоянные издержки проекта'!BZ15)*Исх.данные!$B$21</f>
        <v>2196.3732756833338</v>
      </c>
      <c r="BX6" s="72">
        <f>('Постоянные издержки проекта'!CA16-'Постоянные издержки проекта'!CA15)*Исх.данные!$B$21</f>
        <v>2196.3732756833338</v>
      </c>
      <c r="BY6" s="72">
        <f>('Постоянные издержки проекта'!CB16-'Постоянные издержки проекта'!CB15)*Исх.данные!$B$21</f>
        <v>2196.3732756833338</v>
      </c>
      <c r="BZ6" s="72">
        <f>('Постоянные издержки проекта'!CC16-'Постоянные издержки проекта'!CC15)*Исх.данные!$B$21</f>
        <v>2196.3732756833338</v>
      </c>
      <c r="CA6" s="72">
        <f>('Постоянные издержки проекта'!CD16-'Постоянные издержки проекта'!CD15)*Исх.данные!$B$21</f>
        <v>2196.3732756833338</v>
      </c>
      <c r="CB6" s="72">
        <f>('Постоянные издержки проекта'!CE16-'Постоянные издержки проекта'!CE15)*Исх.данные!$B$21</f>
        <v>2196.3732756833338</v>
      </c>
      <c r="CC6" s="72">
        <f>('Постоянные издержки проекта'!CF16-'Постоянные издержки проекта'!CF15)*Исх.данные!$B$21</f>
        <v>2196.3732756833338</v>
      </c>
      <c r="CD6" s="72">
        <f>('Постоянные издержки проекта'!CG16-'Постоянные издержки проекта'!CG15)*Исх.данные!$B$21</f>
        <v>2196.3732756833338</v>
      </c>
      <c r="CE6" s="72">
        <f>('Постоянные издержки проекта'!CH16-'Постоянные издержки проекта'!CH15)*Исх.данные!$B$21</f>
        <v>2196.3732756833338</v>
      </c>
      <c r="CF6" s="72">
        <f>('Постоянные издержки проекта'!CI16-'Постоянные издержки проекта'!CI15)*Исх.данные!$B$21</f>
        <v>2196.3732756833338</v>
      </c>
      <c r="CG6" s="72">
        <f>('Постоянные издержки проекта'!CJ16-'Постоянные издержки проекта'!CJ15)*Исх.данные!$B$21</f>
        <v>2196.3732756833338</v>
      </c>
      <c r="CH6" s="72">
        <f>('Постоянные издержки проекта'!CK16-'Постоянные издержки проекта'!CK15)*Исх.данные!$B$21</f>
        <v>2414.5031878401664</v>
      </c>
      <c r="CI6" s="72">
        <f>('Постоянные издержки проекта'!CL16-'Постоянные издержки проекта'!CL15)*Исх.данные!$B$21</f>
        <v>2414.5031878401664</v>
      </c>
      <c r="CJ6" s="72">
        <f>('Постоянные издержки проекта'!CM16-'Постоянные издержки проекта'!CM15)*Исх.данные!$B$21</f>
        <v>2414.5031878401664</v>
      </c>
      <c r="CK6" s="72">
        <f>('Постоянные издержки проекта'!CN16-'Постоянные издержки проекта'!CN15)*Исх.данные!$B$21</f>
        <v>2414.5031878401664</v>
      </c>
      <c r="CL6" s="72">
        <f>('Постоянные издержки проекта'!CO16-'Постоянные издержки проекта'!CO15)*Исх.данные!$B$21</f>
        <v>2414.5031878401664</v>
      </c>
      <c r="CM6" s="72">
        <f>('Постоянные издержки проекта'!CP16-'Постоянные издержки проекта'!CP15)*Исх.данные!$B$21</f>
        <v>2414.5031878401664</v>
      </c>
      <c r="CN6" s="72">
        <f>('Постоянные издержки проекта'!CQ16-'Постоянные издержки проекта'!CQ15)*Исх.данные!$B$21</f>
        <v>2414.5031878401664</v>
      </c>
      <c r="CO6" s="72">
        <f>('Постоянные издержки проекта'!CR16-'Постоянные издержки проекта'!CR15)*Исх.данные!$B$21</f>
        <v>2414.5031878401664</v>
      </c>
      <c r="CP6" s="72">
        <f>('Постоянные издержки проекта'!CS16-'Постоянные издержки проекта'!CS15)*Исх.данные!$B$21</f>
        <v>2414.5031878401664</v>
      </c>
      <c r="CQ6" s="72">
        <f>('Постоянные издержки проекта'!CT16-'Постоянные издержки проекта'!CT15)*Исх.данные!$B$21</f>
        <v>2414.5031878401664</v>
      </c>
      <c r="CR6" s="72">
        <f>('Постоянные издержки проекта'!CU16-'Постоянные издержки проекта'!CU15)*Исх.данные!$B$21</f>
        <v>2414.5031878401664</v>
      </c>
      <c r="CS6" s="72">
        <f>('Постоянные издержки проекта'!CV16-'Постоянные издержки проекта'!CV15)*Исх.данные!$B$21</f>
        <v>2414.5031878401664</v>
      </c>
      <c r="CT6" s="72">
        <f>('Постоянные издержки проекта'!CW16-'Постоянные издержки проекта'!CW15)*Исх.данные!$B$21</f>
        <v>2654.34057213388</v>
      </c>
      <c r="CU6" s="72">
        <f>('Постоянные издержки проекта'!CX16-'Постоянные издержки проекта'!CX15)*Исх.данные!$B$21</f>
        <v>2654.34057213388</v>
      </c>
      <c r="CV6" s="72">
        <f>('Постоянные издержки проекта'!CY16-'Постоянные издержки проекта'!CY15)*Исх.данные!$B$21</f>
        <v>2654.34057213388</v>
      </c>
      <c r="CW6" s="72">
        <f>('Постоянные издержки проекта'!CZ16-'Постоянные издержки проекта'!CZ15)*Исх.данные!$B$21</f>
        <v>2654.34057213388</v>
      </c>
      <c r="CX6" s="72">
        <f>('Постоянные издержки проекта'!DA16-'Постоянные издержки проекта'!DA15)*Исх.данные!$B$21</f>
        <v>2654.34057213388</v>
      </c>
      <c r="CY6" s="72">
        <f>('Постоянные издержки проекта'!DB16-'Постоянные издержки проекта'!DB15)*Исх.данные!$B$21</f>
        <v>2654.34057213388</v>
      </c>
      <c r="CZ6" s="72">
        <f>('Постоянные издержки проекта'!DC16-'Постоянные издержки проекта'!DC15)*Исх.данные!$B$21</f>
        <v>2654.34057213388</v>
      </c>
      <c r="DA6" s="72">
        <f>('Постоянные издержки проекта'!DD16-'Постоянные издержки проекта'!DD15)*Исх.данные!$B$21</f>
        <v>2654.34057213388</v>
      </c>
      <c r="DB6" s="72">
        <f>('Постоянные издержки проекта'!DE16-'Постоянные издержки проекта'!DE15)*Исх.данные!$B$21</f>
        <v>2654.34057213388</v>
      </c>
      <c r="DC6" s="72">
        <f>('Постоянные издержки проекта'!DF16-'Постоянные издержки проекта'!DF15)*Исх.данные!$B$21</f>
        <v>2654.34057213388</v>
      </c>
      <c r="DD6" s="72">
        <f>('Постоянные издержки проекта'!DG16-'Постоянные издержки проекта'!DG15)*Исх.данные!$B$21</f>
        <v>2654.34057213388</v>
      </c>
      <c r="DE6" s="72">
        <f>('Постоянные издержки проекта'!DH16-'Постоянные издержки проекта'!DH15)*Исх.данные!$B$21</f>
        <v>2654.34057213388</v>
      </c>
      <c r="DF6" s="72">
        <f>('Постоянные издержки проекта'!DI16-'Постоянные издержки проекта'!DI15)*Исх.данные!$B$21</f>
        <v>2918.048789442641</v>
      </c>
      <c r="DG6" s="72">
        <f>('Постоянные издержки проекта'!DJ16-'Постоянные издержки проекта'!DJ15)*Исх.данные!$B$21</f>
        <v>2918.048789442641</v>
      </c>
      <c r="DH6" s="72">
        <f>('Постоянные издержки проекта'!DK16-'Постоянные издержки проекта'!DK15)*Исх.данные!$B$21</f>
        <v>2918.048789442641</v>
      </c>
      <c r="DI6" s="72">
        <f>('Постоянные издержки проекта'!DL16-'Постоянные издержки проекта'!DL15)*Исх.данные!$B$21</f>
        <v>2918.048789442641</v>
      </c>
      <c r="DJ6" s="72">
        <f>('Постоянные издержки проекта'!DM16-'Постоянные издержки проекта'!DM15)*Исх.данные!$B$21</f>
        <v>2918.048789442641</v>
      </c>
      <c r="DK6" s="72">
        <f>('Постоянные издержки проекта'!DN16-'Постоянные издержки проекта'!DN15)*Исх.данные!$B$21</f>
        <v>2918.048789442641</v>
      </c>
      <c r="DL6" s="72">
        <f>('Постоянные издержки проекта'!DO16-'Постоянные издержки проекта'!DO15)*Исх.данные!$B$21</f>
        <v>2918.048789442641</v>
      </c>
      <c r="DM6" s="72">
        <f>('Постоянные издержки проекта'!DP16-'Постоянные издержки проекта'!DP15)*Исх.данные!$B$21</f>
        <v>2918.048789442641</v>
      </c>
      <c r="DN6" s="72">
        <f>('Постоянные издержки проекта'!DQ16-'Постоянные издержки проекта'!DQ15)*Исх.данные!$B$21</f>
        <v>2918.048789442641</v>
      </c>
      <c r="DO6" s="72">
        <f>('Постоянные издержки проекта'!DR16-'Постоянные издержки проекта'!DR15)*Исх.данные!$B$21</f>
        <v>2918.048789442641</v>
      </c>
      <c r="DP6" s="72">
        <f>('Постоянные издержки проекта'!DS16-'Постоянные издержки проекта'!DS15)*Исх.данные!$B$21</f>
        <v>2918.048789442641</v>
      </c>
      <c r="DQ6" s="72">
        <f>('Постоянные издержки проекта'!DT16-'Постоянные издержки проекта'!DT15)*Исх.данные!$B$21</f>
        <v>2918.048789442641</v>
      </c>
      <c r="DR6" s="72">
        <f>('Постоянные издержки проекта'!DU16-'Постоянные издержки проекта'!DU15)*Исх.данные!$B$21</f>
        <v>3208.0070196889551</v>
      </c>
      <c r="DS6" s="72">
        <f>('Постоянные издержки проекта'!DV16-'Постоянные издержки проекта'!DV15)*Исх.данные!$B$21</f>
        <v>3208.0070196889551</v>
      </c>
      <c r="DT6" s="72">
        <f>('Постоянные издержки проекта'!DW16-'Постоянные издержки проекта'!DW15)*Исх.данные!$B$21</f>
        <v>3208.0070196889551</v>
      </c>
      <c r="DU6" s="72">
        <f>('Постоянные издержки проекта'!DX16-'Постоянные издержки проекта'!DX15)*Исх.данные!$B$21</f>
        <v>3208.0070196889551</v>
      </c>
      <c r="DV6" s="72">
        <f>('Постоянные издержки проекта'!DY16-'Постоянные издержки проекта'!DY15)*Исх.данные!$B$21</f>
        <v>3208.0070196889551</v>
      </c>
      <c r="DW6" s="72">
        <f>('Постоянные издержки проекта'!DZ16-'Постоянные издержки проекта'!DZ15)*Исх.данные!$B$21</f>
        <v>3208.0070196889551</v>
      </c>
      <c r="DX6" s="72">
        <f>('Постоянные издержки проекта'!EA16-'Постоянные издержки проекта'!EA15)*Исх.данные!$B$21</f>
        <v>3208.0070196889551</v>
      </c>
      <c r="DY6" s="72">
        <f>('Постоянные издержки проекта'!EB16-'Постоянные издержки проекта'!EB15)*Исх.данные!$B$21</f>
        <v>3208.0070196889551</v>
      </c>
      <c r="DZ6" s="72">
        <f>('Постоянные издержки проекта'!EC16-'Постоянные издержки проекта'!EC15)*Исх.данные!$B$21</f>
        <v>3208.0070196889551</v>
      </c>
      <c r="EA6" s="72">
        <f>('Постоянные издержки проекта'!ED16-'Постоянные издержки проекта'!ED15)*Исх.данные!$B$21</f>
        <v>3208.0070196889551</v>
      </c>
      <c r="EB6" s="72">
        <f>('Постоянные издержки проекта'!EE16-'Постоянные издержки проекта'!EE15)*Исх.данные!$B$21</f>
        <v>3208.0070196889551</v>
      </c>
      <c r="EC6" s="72">
        <f>('Постоянные издержки проекта'!EF16-'Постоянные издержки проекта'!EF15)*Исх.данные!$B$21</f>
        <v>3208.0070196889551</v>
      </c>
    </row>
    <row r="7" spans="1:133" s="416" customFormat="1" ht="13.15" customHeight="1">
      <c r="A7" s="415" t="s">
        <v>153</v>
      </c>
      <c r="B7" s="72">
        <f>(Инвестиции!F6+Инвестиции!F14+Инвестиции!F37+Инвестиции!F38+Инвестиции!F39+Инвестиции!F40+Инвестиции!F68)*Исх.данные!$B$21</f>
        <v>0</v>
      </c>
      <c r="C7" s="72">
        <f>(Инвестиции!G6+Инвестиции!G14+Инвестиции!G37+Инвестиции!G38+Инвестиции!G39+Инвестиции!G40+Инвестиции!G68)*Исх.данные!$B$21</f>
        <v>0</v>
      </c>
      <c r="D7" s="72">
        <f>(Инвестиции!H6+Инвестиции!H14+Инвестиции!H37+Инвестиции!H38+Инвестиции!H39+Инвестиции!H40+Инвестиции!H68)*Исх.данные!$B$21</f>
        <v>0</v>
      </c>
      <c r="E7" s="72">
        <f>(Инвестиции!I6+Инвестиции!I14+Инвестиции!I37+Инвестиции!I38+Инвестиции!I39+Инвестиции!I40+Инвестиции!I68)*Исх.данные!$B$21</f>
        <v>0</v>
      </c>
      <c r="F7" s="72">
        <f>(Инвестиции!J6+Инвестиции!J14+Инвестиции!J37+Инвестиции!J38+Инвестиции!J39+Инвестиции!J40+Инвестиции!J68)*Исх.данные!$B$21</f>
        <v>0</v>
      </c>
      <c r="G7" s="72">
        <f>(Инвестиции!K6+Инвестиции!K14+Инвестиции!K37+Инвестиции!K38+Инвестиции!K39+Инвестиции!K40+Инвестиции!K68)*Исх.данные!$B$21</f>
        <v>0</v>
      </c>
      <c r="H7" s="72">
        <f>(Инвестиции!L6+Инвестиции!L14+Инвестиции!L37+Инвестиции!L38+Инвестиции!L39+Инвестиции!L40+Инвестиции!L68)*Исх.данные!$B$21</f>
        <v>0</v>
      </c>
      <c r="I7" s="72">
        <f>(Инвестиции!M6+Инвестиции!M14+Инвестиции!M37+Инвестиции!M38+Инвестиции!M39+Инвестиции!M40+Инвестиции!M68)*Исх.данные!$B$21</f>
        <v>0</v>
      </c>
      <c r="J7" s="72">
        <f>(Инвестиции!N6+Инвестиции!N14+Инвестиции!N37+Инвестиции!N38+Инвестиции!N39+Инвестиции!N40+Инвестиции!N68)*Исх.данные!$B$21</f>
        <v>0</v>
      </c>
      <c r="K7" s="72">
        <f>(Инвестиции!O6+Инвестиции!O14+Инвестиции!O37+Инвестиции!O38+Инвестиции!O39+Инвестиции!O40+Инвестиции!O68)*Исх.данные!$B$21</f>
        <v>588.74383333333344</v>
      </c>
      <c r="L7" s="72">
        <f>(Инвестиции!P6+Инвестиции!P14+Инвестиции!P37+Инвестиции!P38+Инвестиции!P39+Инвестиции!P40+Инвестиции!P68)*Исх.данные!$B$21</f>
        <v>0</v>
      </c>
      <c r="M7" s="72">
        <f>(Инвестиции!Q6+Инвестиции!Q14+Инвестиции!Q37+Инвестиции!Q38+Инвестиции!Q39+Инвестиции!Q40+Инвестиции!Q68)*Исх.данные!$B$21</f>
        <v>168.66666666666669</v>
      </c>
      <c r="N7" s="72">
        <f>(Инвестиции!R6+Инвестиции!R14+Инвестиции!R37+Инвестиции!R38+Инвестиции!R39+Инвестиции!R40+Инвестиции!R68)*Исх.данные!$B$21</f>
        <v>4391.5733333333337</v>
      </c>
      <c r="O7" s="72">
        <f>(Инвестиции!S6+Инвестиции!S14+Инвестиции!S37+Инвестиции!S38+Инвестиции!S39+Инвестиции!S40+Инвестиции!S68)*Исх.данные!$B$21</f>
        <v>2634.9068333333339</v>
      </c>
      <c r="P7" s="72">
        <f>(Инвестиции!T6+Инвестиции!T14+Инвестиции!T37+Инвестиции!T38+Инвестиции!T39+Инвестиции!T40+Инвестиции!T68)*Исх.данные!$B$21</f>
        <v>65.88000000000001</v>
      </c>
      <c r="Q7" s="72">
        <f>(Инвестиции!U6+Инвестиции!U14+Инвестиции!U37+Инвестиции!U38+Инвестиции!U39+Инвестиции!U40+Инвестиции!U68)*Исх.данные!$B$21</f>
        <v>7548.0783333333347</v>
      </c>
      <c r="R7" s="72">
        <f>(Инвестиции!V6+Инвестиции!V14+Инвестиции!V37+Инвестиции!V38+Инвестиции!V39+Инвестиции!V40+Инвестиции!V68)*Исх.данные!$B$21</f>
        <v>1261.6333333333334</v>
      </c>
      <c r="S7" s="72">
        <f>(Инвестиции!W6+Инвестиции!W14+Инвестиции!W37+Инвестиции!W38+Инвестиции!W39+Инвестиции!W40+Инвестиции!W68)*Исх.данные!$B$21</f>
        <v>105.925</v>
      </c>
      <c r="T7" s="72">
        <f>(Инвестиции!X6+Инвестиции!X14+Инвестиции!X37+Инвестиции!X38+Инвестиции!X39+Инвестиции!X40+Инвестиции!X68)*Исх.данные!$B$21</f>
        <v>95.033333333333346</v>
      </c>
      <c r="U7" s="72">
        <f>(Инвестиции!Y6+Инвестиции!Y14+Инвестиции!Y37+Инвестиции!Y38+Инвестиции!Y39+Инвестиции!Y40+Инвестиции!Y68)*Исх.данные!$B$21</f>
        <v>7.8833333333333337</v>
      </c>
      <c r="V7" s="72">
        <f>(Инвестиции!Z6+Инвестиции!Z14+Инвестиции!Z37+Инвестиции!Z38+Инвестиции!Z39+Инвестиции!Z40+Инвестиции!Z68)*Исх.данные!$B$21</f>
        <v>2483.7603333333336</v>
      </c>
      <c r="W7" s="72">
        <f>(Инвестиции!AA6+Инвестиции!AA14+Инвестиции!AA37+Инвестиции!AA38+Инвестиции!AA39+Инвестиции!AA40+Инвестиции!AA68)*Исх.данные!$B$21</f>
        <v>8706.854666666668</v>
      </c>
      <c r="X7" s="72">
        <f>(Инвестиции!AB6+Инвестиции!AB14+Инвестиции!AB37+Инвестиции!AB38+Инвестиции!AB39+Инвестиции!AB40+Инвестиции!AB68)*Исх.данные!$B$21</f>
        <v>258.91666666666669</v>
      </c>
      <c r="Y7" s="72">
        <f>(Инвестиции!AC6+Инвестиции!AC14+Инвестиции!AC37+Инвестиции!AC38+Инвестиции!AC39+Инвестиции!AC40+Инвестиции!AC68)*Исх.данные!$B$21</f>
        <v>122.13333333333334</v>
      </c>
      <c r="Z7" s="72">
        <f>(Инвестиции!AD6+Инвестиции!AD14+Инвестиции!AD37+Инвестиции!AD38+Инвестиции!AD39+Инвестиции!AD40+Инвестиции!AD68)*Исх.данные!$B$21</f>
        <v>0</v>
      </c>
      <c r="AA7" s="72">
        <f>(Инвестиции!AE6+Инвестиции!AE14+Инвестиции!AE37+Инвестиции!AE38+Инвестиции!AE39+Инвестиции!AE40+Инвестиции!AE68)*Исх.данные!$B$21</f>
        <v>0</v>
      </c>
      <c r="AB7" s="72">
        <f>(Инвестиции!AF6+Инвестиции!AF14+Инвестиции!AF37+Инвестиции!AF38+Инвестиции!AF39+Инвестиции!AF40+Инвестиции!AF68)*Исх.данные!$B$21</f>
        <v>4224.463333333334</v>
      </c>
      <c r="AC7" s="72">
        <f>(Инвестиции!AG6+Инвестиции!AG14+Инвестиции!AG37+Инвестиции!AG38+Инвестиции!AG39+Инвестиции!AG40+Инвестиции!AG68)*Исх.данные!$B$21</f>
        <v>0</v>
      </c>
      <c r="AD7" s="72">
        <f>(Инвестиции!AH6+Инвестиции!AH14+Инвестиции!AH37+Инвестиции!AH38+Инвестиции!AH39+Инвестиции!AH40+Инвестиции!AH68)*Исх.данные!$B$21</f>
        <v>0</v>
      </c>
      <c r="AE7" s="72">
        <f>(Инвестиции!AI6+Инвестиции!AI14+Инвестиции!AI37+Инвестиции!AI38+Инвестиции!AI39+Инвестиции!AI40+Инвестиции!AI68)*Исх.данные!$B$21</f>
        <v>1521.2911755555567</v>
      </c>
      <c r="AF7" s="72">
        <f>(Инвестиции!AJ6+Инвестиции!AJ14+Инвестиции!AJ37+Инвестиции!AJ38+Инвестиции!AJ39+Инвестиции!AJ40+Инвестиции!AJ68)*Исх.данные!$B$21</f>
        <v>1521.2911755555567</v>
      </c>
      <c r="AG7" s="72">
        <f>(Инвестиции!AK6+Инвестиции!AK14+Инвестиции!AK37+Инвестиции!AK38+Инвестиции!AK39+Инвестиции!AK40+Инвестиции!AK68)*Исх.данные!$B$21</f>
        <v>1521.2911755555567</v>
      </c>
      <c r="AH7" s="72">
        <f>(Инвестиции!AL6+Инвестиции!AL14+Инвестиции!AL37+Инвестиции!AL38+Инвестиции!AL39+Инвестиции!AL40+Инвестиции!AL68)*Исх.данные!$B$21</f>
        <v>1521.2911755555567</v>
      </c>
      <c r="AI7" s="72">
        <f>(Инвестиции!AM6+Инвестиции!AM14+Инвестиции!AM37+Инвестиции!AM38+Инвестиции!AM39+Инвестиции!AM40+Инвестиции!AM68)*Исх.данные!$B$21</f>
        <v>1521.2911755555567</v>
      </c>
      <c r="AJ7" s="72">
        <f>(Инвестиции!AN6+Инвестиции!AN14+Инвестиции!AN37+Инвестиции!AN38+Инвестиции!AN39+Инвестиции!AN40+Инвестиции!AN68)*Исх.данные!$B$21</f>
        <v>0</v>
      </c>
      <c r="AK7" s="72">
        <f>(Инвестиции!AO6+Инвестиции!AO14+Инвестиции!AO37+Инвестиции!AO38+Инвестиции!AO39+Инвестиции!AO40+Инвестиции!AO68)*Исх.данные!$B$21</f>
        <v>0</v>
      </c>
      <c r="AL7" s="72">
        <f>(Инвестиции!AP6+Инвестиции!AP14+Инвестиции!AP37+Инвестиции!AP38+Инвестиции!AP39+Инвестиции!AP40+Инвестиции!AP68)*Исх.данные!$B$21</f>
        <v>0</v>
      </c>
      <c r="AM7" s="72">
        <f>(Инвестиции!AQ6+Инвестиции!AQ14+Инвестиции!AQ37+Инвестиции!AQ38+Инвестиции!AQ39+Инвестиции!AQ40+Инвестиции!AQ68)*Исх.данные!$B$21</f>
        <v>0</v>
      </c>
      <c r="AN7" s="72">
        <f>(Инвестиции!AR6+Инвестиции!AR14+Инвестиции!AR37+Инвестиции!AR38+Инвестиции!AR39+Инвестиции!AR40+Инвестиции!AR68)*Исх.данные!$B$21</f>
        <v>0</v>
      </c>
      <c r="AO7" s="72">
        <f>(Инвестиции!AS6+Инвестиции!AS14+Инвестиции!AS37+Инвестиции!AS38+Инвестиции!AS39+Инвестиции!AS40+Инвестиции!AS68)*Исх.данные!$B$21</f>
        <v>0</v>
      </c>
      <c r="AP7" s="72">
        <f>(Инвестиции!AT6+Инвестиции!AT14+Инвестиции!AT37+Инвестиции!AT38+Инвестиции!AT39+Инвестиции!AT40+Инвестиции!AT68)*Исх.данные!$B$21</f>
        <v>0</v>
      </c>
      <c r="AQ7" s="72">
        <f>(Инвестиции!AU6+Инвестиции!AU14+Инвестиции!AU37+Инвестиции!AU38+Инвестиции!AU39+Инвестиции!AU40+Инвестиции!AU68)*Исх.данные!$B$21</f>
        <v>1673.4202931111099</v>
      </c>
      <c r="AR7" s="72">
        <f>(Инвестиции!AV6+Инвестиции!AV14+Инвестиции!AV37+Инвестиции!AV38+Инвестиции!AV39+Инвестиции!AV40+Инвестиции!AV68)*Исх.данные!$B$21</f>
        <v>1673.4202931111099</v>
      </c>
      <c r="AS7" s="72">
        <f>(Инвестиции!AW6+Инвестиции!AW14+Инвестиции!AW37+Инвестиции!AW38+Инвестиции!AW39+Инвестиции!AW40+Инвестиции!AW68)*Исх.данные!$B$21</f>
        <v>1673.4202931111099</v>
      </c>
      <c r="AT7" s="72">
        <f>(Инвестиции!AX6+Инвестиции!AX14+Инвестиции!AX37+Инвестиции!AX38+Инвестиции!AX39+Инвестиции!AX40+Инвестиции!AX68)*Исх.данные!$B$21</f>
        <v>1673.4202931111099</v>
      </c>
      <c r="AU7" s="72">
        <f>(Инвестиции!AY6+Инвестиции!AY14+Инвестиции!AY37+Инвестиции!AY38+Инвестиции!AY39+Инвестиции!AY40+Инвестиции!AY68)*Исх.данные!$B$21</f>
        <v>1673.4202931111099</v>
      </c>
      <c r="AV7" s="72">
        <f>(Инвестиции!AZ6+Инвестиции!AZ14+Инвестиции!AZ37+Инвестиции!AZ38+Инвестиции!AZ39+Инвестиции!AZ40+Инвестиции!AZ68)*Исх.данные!$B$21</f>
        <v>0</v>
      </c>
      <c r="AW7" s="72">
        <f>(Инвестиции!BA6+Инвестиции!BA14+Инвестиции!BA37+Инвестиции!BA38+Инвестиции!BA39+Инвестиции!BA40+Инвестиции!BA68)*Исх.данные!$B$21</f>
        <v>0</v>
      </c>
      <c r="AX7" s="72">
        <f>(Инвестиции!BB6+Инвестиции!BB14+Инвестиции!BB37+Инвестиции!BB38+Инвестиции!BB39+Инвестиции!BB40+Инвестиции!BB68)*Исх.данные!$B$21</f>
        <v>0</v>
      </c>
      <c r="AY7" s="72">
        <f>(Инвестиции!BC6+Инвестиции!BC14+Инвестиции!BC37+Инвестиции!BC38+Инвестиции!BC39+Инвестиции!BC40+Инвестиции!BC68)*Исх.данные!$B$21</f>
        <v>0</v>
      </c>
      <c r="AZ7" s="72">
        <f>(Инвестиции!BD6+Инвестиции!BD14+Инвестиции!BD37+Инвестиции!BD38+Инвестиции!BD39+Инвестиции!BD40+Инвестиции!BD68)*Исх.данные!$B$21</f>
        <v>0</v>
      </c>
      <c r="BA7" s="72">
        <f>(Инвестиции!BE6+Инвестиции!BE14+Инвестиции!BE37+Инвестиции!BE38+Инвестиции!BE39+Инвестиции!BE40+Инвестиции!BE68)*Исх.данные!$B$21</f>
        <v>0</v>
      </c>
      <c r="BB7" s="72">
        <f>(Инвестиции!BF6+Инвестиции!BF14+Инвестиции!BF37+Инвестиции!BF38+Инвестиции!BF39+Инвестиции!BF40+Инвестиции!BF68)*Исх.данные!$B$21</f>
        <v>0</v>
      </c>
      <c r="BC7" s="72">
        <f>(Инвестиции!BG6+Инвестиции!BG14+Инвестиции!BG37+Инвестиции!BG38+Инвестиции!BG39+Инвестиции!BG40+Инвестиции!BG68)*Исх.данные!$B$21</f>
        <v>1840.7623224222234</v>
      </c>
      <c r="BD7" s="72">
        <f>(Инвестиции!BH6+Инвестиции!BH14+Инвестиции!BH37+Инвестиции!BH38+Инвестиции!BH39+Инвестиции!BH40+Инвестиции!BH68)*Исх.данные!$B$21</f>
        <v>1840.7623224222234</v>
      </c>
      <c r="BE7" s="72">
        <f>(Инвестиции!BI6+Инвестиции!BI14+Инвестиции!BI37+Инвестиции!BI38+Инвестиции!BI39+Инвестиции!BI40+Инвестиции!BI68)*Исх.данные!$B$21</f>
        <v>1840.7623224222234</v>
      </c>
      <c r="BF7" s="72">
        <f>(Инвестиции!BJ6+Инвестиции!BJ14+Инвестиции!BJ37+Инвестиции!BJ38+Инвестиции!BJ39+Инвестиции!BJ40+Инвестиции!BJ68)*Исх.данные!$B$21</f>
        <v>1840.7623224222234</v>
      </c>
      <c r="BG7" s="72">
        <f>(Инвестиции!BK6+Инвестиции!BK14+Инвестиции!BK37+Инвестиции!BK38+Инвестиции!BK39+Инвестиции!BK40+Инвестиции!BK68)*Исх.данные!$B$21</f>
        <v>1840.7623224222234</v>
      </c>
      <c r="BH7" s="72">
        <f>(Инвестиции!BL6+Инвестиции!BL14+Инвестиции!BL37+Инвестиции!BL38+Инвестиции!BL39+Инвестиции!BL40+Инвестиции!BL68)*Исх.данные!$B$21</f>
        <v>0</v>
      </c>
      <c r="BI7" s="72">
        <f>(Инвестиции!BM6+Инвестиции!BM14+Инвестиции!BM37+Инвестиции!BM38+Инвестиции!BM39+Инвестиции!BM40+Инвестиции!BM68)*Исх.данные!$B$21</f>
        <v>0</v>
      </c>
      <c r="BJ7" s="72">
        <f>(Инвестиции!BN6+Инвестиции!BN14+Инвестиции!BN37+Инвестиции!BN38+Инвестиции!BN39+Инвестиции!BN40+Инвестиции!BN68)*Исх.данные!$B$21</f>
        <v>0</v>
      </c>
      <c r="BK7" s="72">
        <f>(Инвестиции!BO6+Инвестиции!BO14+Инвестиции!BO37+Инвестиции!BO38+Инвестиции!BO39+Инвестиции!BO40+Инвестиции!BO68)*Исх.данные!$B$21</f>
        <v>0</v>
      </c>
      <c r="BL7" s="72">
        <f>(Инвестиции!BP6+Инвестиции!BP14+Инвестиции!BP37+Инвестиции!BP38+Инвестиции!BP39+Инвестиции!BP40+Инвестиции!BP68)*Исх.данные!$B$21</f>
        <v>0</v>
      </c>
      <c r="BM7" s="72">
        <f>(Инвестиции!BQ6+Инвестиции!BQ14+Инвестиции!BQ37+Инвестиции!BQ38+Инвестиции!BQ39+Инвестиции!BQ40+Инвестиции!BQ68)*Исх.данные!$B$21</f>
        <v>0</v>
      </c>
      <c r="BN7" s="72">
        <f>(Инвестиции!BR6+Инвестиции!BR14+Инвестиции!BR37+Инвестиции!BR38+Инвестиции!BR39+Инвестиции!BR40+Инвестиции!BR68)*Исх.данные!$B$21</f>
        <v>0</v>
      </c>
      <c r="BO7" s="72">
        <f>(Инвестиции!BS6+Инвестиции!BS14+Инвестиции!BS37+Инвестиции!BS38+Инвестиции!BS39+Инвестиции!BS40+Инвестиции!BS68)*Исх.данные!$B$21</f>
        <v>0</v>
      </c>
      <c r="BP7" s="72">
        <f>(Инвестиции!BT6+Инвестиции!BT14+Инвестиции!BT37+Инвестиции!BT38+Инвестиции!BT39+Инвестиции!BT40+Инвестиции!BT68)*Исх.данные!$B$21</f>
        <v>0</v>
      </c>
      <c r="BQ7" s="72">
        <f>(Инвестиции!BU6+Инвестиции!BU14+Инвестиции!BU37+Инвестиции!BU38+Инвестиции!BU39+Инвестиции!BU40+Инвестиции!BU68)*Исх.данные!$B$21</f>
        <v>0</v>
      </c>
      <c r="BR7" s="72">
        <f>(Инвестиции!BV6+Инвестиции!BV14+Инвестиции!BV37+Инвестиции!BV38+Инвестиции!BV39+Инвестиции!BV40+Инвестиции!BV68)*Исх.данные!$B$21</f>
        <v>0</v>
      </c>
      <c r="BS7" s="72">
        <f>(Инвестиции!BW6+Инвестиции!BW14+Инвестиции!BW37+Инвестиции!BW38+Инвестиции!BW39+Инвестиции!BW40+Инвестиции!BW68)*Исх.данные!$B$21</f>
        <v>0</v>
      </c>
      <c r="BT7" s="72">
        <f>(Инвестиции!BX6+Инвестиции!BX14+Инвестиции!BX37+Инвестиции!BX38+Инвестиции!BX39+Инвестиции!BX40+Инвестиции!BX68)*Исх.данные!$B$21</f>
        <v>0</v>
      </c>
      <c r="BU7" s="72">
        <f>(Инвестиции!BY6+Инвестиции!BY14+Инвестиции!BY37+Инвестиции!BY38+Инвестиции!BY39+Инвестиции!BY40+Инвестиции!BY68)*Исх.данные!$B$21</f>
        <v>0</v>
      </c>
      <c r="BV7" s="72">
        <f>(Инвестиции!BZ6+Инвестиции!BZ14+Инвестиции!BZ37+Инвестиции!BZ38+Инвестиции!BZ39+Инвестиции!BZ40+Инвестиции!BZ68)*Исх.данные!$B$21</f>
        <v>0</v>
      </c>
      <c r="BW7" s="72">
        <f>(Инвестиции!CA6+Инвестиции!CA14+Инвестиции!CA37+Инвестиции!CA38+Инвестиции!CA39+Инвестиции!CA40+Инвестиции!CA68)*Исх.данные!$B$21</f>
        <v>0</v>
      </c>
      <c r="BX7" s="72">
        <f>(Инвестиции!CB6+Инвестиции!CB14+Инвестиции!CB37+Инвестиции!CB38+Инвестиции!CB39+Инвестиции!CB40+Инвестиции!CB68)*Исх.данные!$B$21</f>
        <v>0</v>
      </c>
      <c r="BY7" s="72">
        <f>(Инвестиции!CC6+Инвестиции!CC14+Инвестиции!CC37+Инвестиции!CC38+Инвестиции!CC39+Инвестиции!CC40+Инвестиции!CC68)*Исх.данные!$B$21</f>
        <v>0</v>
      </c>
      <c r="BZ7" s="72">
        <f>(Инвестиции!CD6+Инвестиции!CD14+Инвестиции!CD37+Инвестиции!CD38+Инвестиции!CD39+Инвестиции!CD40+Инвестиции!CD68)*Исх.данные!$B$21</f>
        <v>0</v>
      </c>
      <c r="CA7" s="72">
        <f>(Инвестиции!CE6+Инвестиции!CE14+Инвестиции!CE37+Инвестиции!CE38+Инвестиции!CE39+Инвестиции!CE40+Инвестиции!CE68)*Исх.данные!$B$21</f>
        <v>0</v>
      </c>
      <c r="CB7" s="72">
        <f>(Инвестиции!CF6+Инвестиции!CF14+Инвестиции!CF37+Инвестиции!CF38+Инвестиции!CF39+Инвестиции!CF40+Инвестиции!CF68)*Исх.данные!$B$21</f>
        <v>0</v>
      </c>
      <c r="CC7" s="72">
        <f>(Инвестиции!CG6+Инвестиции!CG14+Инвестиции!CG37+Инвестиции!CG38+Инвестиции!CG39+Инвестиции!CG40+Инвестиции!CG68)*Исх.данные!$B$21</f>
        <v>0</v>
      </c>
      <c r="CD7" s="72">
        <f>(Инвестиции!CH6+Инвестиции!CH14+Инвестиции!CH37+Инвестиции!CH38+Инвестиции!CH39+Инвестиции!CH40+Инвестиции!CH68)*Исх.данные!$B$21</f>
        <v>0</v>
      </c>
      <c r="CE7" s="72">
        <f>(Инвестиции!CI6+Инвестиции!CI14+Инвестиции!CI37+Инвестиции!CI38+Инвестиции!CI39+Инвестиции!CI40+Инвестиции!CI68)*Исх.данные!$B$21</f>
        <v>0</v>
      </c>
      <c r="CF7" s="72">
        <f>(Инвестиции!CJ6+Инвестиции!CJ14+Инвестиции!CJ37+Инвестиции!CJ38+Инвестиции!CJ39+Инвестиции!CJ40+Инвестиции!CJ68)*Исх.данные!$B$21</f>
        <v>0</v>
      </c>
      <c r="CG7" s="72">
        <f>(Инвестиции!CK6+Инвестиции!CK14+Инвестиции!CK37+Инвестиции!CK38+Инвестиции!CK39+Инвестиции!CK40+Инвестиции!CK68)*Исх.данные!$B$21</f>
        <v>0</v>
      </c>
      <c r="CH7" s="72">
        <f>(Инвестиции!CL6+Инвестиции!CL14+Инвестиции!CL37+Инвестиции!CL38+Инвестиции!CL39+Инвестиции!CL40+Инвестиции!CL68)*Исх.данные!$B$21</f>
        <v>0</v>
      </c>
      <c r="CI7" s="72">
        <f>(Инвестиции!CM6+Инвестиции!CM14+Инвестиции!CM37+Инвестиции!CM38+Инвестиции!CM39+Инвестиции!CM40+Инвестиции!CM68)*Исх.данные!$B$21</f>
        <v>0</v>
      </c>
      <c r="CJ7" s="72">
        <f>(Инвестиции!CN6+Инвестиции!CN14+Инвестиции!CN37+Инвестиции!CN38+Инвестиции!CN39+Инвестиции!CN40+Инвестиции!CN68)*Исх.данные!$B$21</f>
        <v>0</v>
      </c>
      <c r="CK7" s="72">
        <f>(Инвестиции!CO6+Инвестиции!CO14+Инвестиции!CO37+Инвестиции!CO38+Инвестиции!CO39+Инвестиции!CO40+Инвестиции!CO68)*Исх.данные!$B$21</f>
        <v>0</v>
      </c>
      <c r="CL7" s="72">
        <f>(Инвестиции!CP6+Инвестиции!CP14+Инвестиции!CP37+Инвестиции!CP38+Инвестиции!CP39+Инвестиции!CP40+Инвестиции!CP68)*Исх.данные!$B$21</f>
        <v>0</v>
      </c>
      <c r="CM7" s="72">
        <f>(Инвестиции!CQ6+Инвестиции!CQ14+Инвестиции!CQ37+Инвестиции!CQ38+Инвестиции!CQ39+Инвестиции!CQ40+Инвестиции!CQ68)*Исх.данные!$B$21</f>
        <v>0</v>
      </c>
      <c r="CN7" s="72">
        <f>(Инвестиции!CR6+Инвестиции!CR14+Инвестиции!CR37+Инвестиции!CR38+Инвестиции!CR39+Инвестиции!CR40+Инвестиции!CR68)*Исх.данные!$B$21</f>
        <v>0</v>
      </c>
      <c r="CO7" s="72">
        <f>(Инвестиции!CS6+Инвестиции!CS14+Инвестиции!CS37+Инвестиции!CS38+Инвестиции!CS39+Инвестиции!CS40+Инвестиции!CS68)*Исх.данные!$B$21</f>
        <v>0</v>
      </c>
      <c r="CP7" s="72">
        <f>(Инвестиции!CT6+Инвестиции!CT14+Инвестиции!CT37+Инвестиции!CT38+Инвестиции!CT39+Инвестиции!CT40+Инвестиции!CT68)*Исх.данные!$B$21</f>
        <v>0</v>
      </c>
      <c r="CQ7" s="72">
        <f>(Инвестиции!CU6+Инвестиции!CU14+Инвестиции!CU37+Инвестиции!CU38+Инвестиции!CU39+Инвестиции!CU40+Инвестиции!CU68)*Исх.данные!$B$21</f>
        <v>0</v>
      </c>
      <c r="CR7" s="72">
        <f>(Инвестиции!CV6+Инвестиции!CV14+Инвестиции!CV37+Инвестиции!CV38+Инвестиции!CV39+Инвестиции!CV40+Инвестиции!CV68)*Исх.данные!$B$21</f>
        <v>0</v>
      </c>
      <c r="CS7" s="72">
        <f>(Инвестиции!CW6+Инвестиции!CW14+Инвестиции!CW37+Инвестиции!CW38+Инвестиции!CW39+Инвестиции!CW40+Инвестиции!CW68)*Исх.данные!$B$21</f>
        <v>0</v>
      </c>
      <c r="CT7" s="72">
        <f>(Инвестиции!CX6+Инвестиции!CX14+Инвестиции!CX37+Инвестиции!CX38+Инвестиции!CX39+Инвестиции!CX40+Инвестиции!CX68)*Исх.данные!$B$21</f>
        <v>0</v>
      </c>
      <c r="CU7" s="72">
        <f>(Инвестиции!CY6+Инвестиции!CY14+Инвестиции!CY37+Инвестиции!CY38+Инвестиции!CY39+Инвестиции!CY40+Инвестиции!CY68)*Исх.данные!$B$21</f>
        <v>0</v>
      </c>
      <c r="CV7" s="72">
        <f>(Инвестиции!CZ6+Инвестиции!CZ14+Инвестиции!CZ37+Инвестиции!CZ38+Инвестиции!CZ39+Инвестиции!CZ40+Инвестиции!CZ68)*Исх.данные!$B$21</f>
        <v>0</v>
      </c>
      <c r="CW7" s="72">
        <f>(Инвестиции!DA6+Инвестиции!DA14+Инвестиции!DA37+Инвестиции!DA38+Инвестиции!DA39+Инвестиции!DA40+Инвестиции!DA68)*Исх.данные!$B$21</f>
        <v>0</v>
      </c>
      <c r="CX7" s="72">
        <f>(Инвестиции!DB6+Инвестиции!DB14+Инвестиции!DB37+Инвестиции!DB38+Инвестиции!DB39+Инвестиции!DB40+Инвестиции!DB68)*Исх.данные!$B$21</f>
        <v>0</v>
      </c>
      <c r="CY7" s="72">
        <f>(Инвестиции!DC6+Инвестиции!DC14+Инвестиции!DC37+Инвестиции!DC38+Инвестиции!DC39+Инвестиции!DC40+Инвестиции!DC68)*Исх.данные!$B$21</f>
        <v>0</v>
      </c>
      <c r="CZ7" s="72">
        <f>(Инвестиции!DD6+Инвестиции!DD14+Инвестиции!DD37+Инвестиции!DD38+Инвестиции!DD39+Инвестиции!DD40+Инвестиции!DD68)*Исх.данные!$B$21</f>
        <v>0</v>
      </c>
      <c r="DA7" s="72">
        <f>(Инвестиции!DE6+Инвестиции!DE14+Инвестиции!DE37+Инвестиции!DE38+Инвестиции!DE39+Инвестиции!DE40+Инвестиции!DE68)*Исх.данные!$B$21</f>
        <v>0</v>
      </c>
      <c r="DB7" s="72">
        <f>(Инвестиции!DF6+Инвестиции!DF14+Инвестиции!DF37+Инвестиции!DF38+Инвестиции!DF39+Инвестиции!DF40+Инвестиции!DF68)*Исх.данные!$B$21</f>
        <v>0</v>
      </c>
      <c r="DC7" s="72">
        <f>(Инвестиции!DG6+Инвестиции!DG14+Инвестиции!DG37+Инвестиции!DG38+Инвестиции!DG39+Инвестиции!DG40+Инвестиции!DG68)*Исх.данные!$B$21</f>
        <v>0</v>
      </c>
      <c r="DD7" s="72">
        <f>(Инвестиции!DH6+Инвестиции!DH14+Инвестиции!DH37+Инвестиции!DH38+Инвестиции!DH39+Инвестиции!DH40+Инвестиции!DH68)*Исх.данные!$B$21</f>
        <v>0</v>
      </c>
      <c r="DE7" s="72">
        <f>(Инвестиции!DI6+Инвестиции!DI14+Инвестиции!DI37+Инвестиции!DI38+Инвестиции!DI39+Инвестиции!DI40+Инвестиции!DI68)*Исх.данные!$B$21</f>
        <v>0</v>
      </c>
      <c r="DF7" s="72">
        <f>(Инвестиции!DJ6+Инвестиции!DJ14+Инвестиции!DJ37+Инвестиции!DJ38+Инвестиции!DJ39+Инвестиции!DJ40+Инвестиции!DJ68)*Исх.данные!$B$21</f>
        <v>0</v>
      </c>
      <c r="DG7" s="72">
        <f>(Инвестиции!DK6+Инвестиции!DK14+Инвестиции!DK37+Инвестиции!DK38+Инвестиции!DK39+Инвестиции!DK40+Инвестиции!DK68)*Исх.данные!$B$21</f>
        <v>0</v>
      </c>
      <c r="DH7" s="72">
        <f>(Инвестиции!DL6+Инвестиции!DL14+Инвестиции!DL37+Инвестиции!DL38+Инвестиции!DL39+Инвестиции!DL40+Инвестиции!DL68)*Исх.данные!$B$21</f>
        <v>0</v>
      </c>
      <c r="DI7" s="72">
        <f>(Инвестиции!DM6+Инвестиции!DM14+Инвестиции!DM37+Инвестиции!DM38+Инвестиции!DM39+Инвестиции!DM40+Инвестиции!DM68)*Исх.данные!$B$21</f>
        <v>0</v>
      </c>
      <c r="DJ7" s="72">
        <f>(Инвестиции!DN6+Инвестиции!DN14+Инвестиции!DN37+Инвестиции!DN38+Инвестиции!DN39+Инвестиции!DN40+Инвестиции!DN68)*Исх.данные!$B$21</f>
        <v>0</v>
      </c>
      <c r="DK7" s="72">
        <f>(Инвестиции!DO6+Инвестиции!DO14+Инвестиции!DO37+Инвестиции!DO38+Инвестиции!DO39+Инвестиции!DO40+Инвестиции!DO68)*Исх.данные!$B$21</f>
        <v>0</v>
      </c>
      <c r="DL7" s="72">
        <f>(Инвестиции!DP6+Инвестиции!DP14+Инвестиции!DP37+Инвестиции!DP38+Инвестиции!DP39+Инвестиции!DP40+Инвестиции!DP68)*Исх.данные!$B$21</f>
        <v>0</v>
      </c>
      <c r="DM7" s="72">
        <f>(Инвестиции!DQ6+Инвестиции!DQ14+Инвестиции!DQ37+Инвестиции!DQ38+Инвестиции!DQ39+Инвестиции!DQ40+Инвестиции!DQ68)*Исх.данные!$B$21</f>
        <v>0</v>
      </c>
      <c r="DN7" s="72">
        <f>(Инвестиции!DR6+Инвестиции!DR14+Инвестиции!DR37+Инвестиции!DR38+Инвестиции!DR39+Инвестиции!DR40+Инвестиции!DR68)*Исх.данные!$B$21</f>
        <v>0</v>
      </c>
      <c r="DO7" s="72">
        <f>(Инвестиции!DS6+Инвестиции!DS14+Инвестиции!DS37+Инвестиции!DS38+Инвестиции!DS39+Инвестиции!DS40+Инвестиции!DS68)*Исх.данные!$B$21</f>
        <v>0</v>
      </c>
      <c r="DP7" s="72">
        <f>(Инвестиции!DT6+Инвестиции!DT14+Инвестиции!DT37+Инвестиции!DT38+Инвестиции!DT39+Инвестиции!DT40+Инвестиции!DT68)*Исх.данные!$B$21</f>
        <v>0</v>
      </c>
      <c r="DQ7" s="72">
        <f>(Инвестиции!DU6+Инвестиции!DU14+Инвестиции!DU37+Инвестиции!DU38+Инвестиции!DU39+Инвестиции!DU40+Инвестиции!DU68)*Исх.данные!$B$21</f>
        <v>0</v>
      </c>
      <c r="DR7" s="72">
        <f>(Инвестиции!DV6+Инвестиции!DV14+Инвестиции!DV37+Инвестиции!DV38+Инвестиции!DV39+Инвестиции!DV40+Инвестиции!DV68)*Исх.данные!$B$21</f>
        <v>0</v>
      </c>
      <c r="DS7" s="72">
        <f>(Инвестиции!DW6+Инвестиции!DW14+Инвестиции!DW37+Инвестиции!DW38+Инвестиции!DW39+Инвестиции!DW40+Инвестиции!DW68)*Исх.данные!$B$21</f>
        <v>0</v>
      </c>
      <c r="DT7" s="72">
        <f>(Инвестиции!DX6+Инвестиции!DX14+Инвестиции!DX37+Инвестиции!DX38+Инвестиции!DX39+Инвестиции!DX40+Инвестиции!DX68)*Исх.данные!$B$21</f>
        <v>0</v>
      </c>
      <c r="DU7" s="72">
        <f>(Инвестиции!DY6+Инвестиции!DY14+Инвестиции!DY37+Инвестиции!DY38+Инвестиции!DY39+Инвестиции!DY40+Инвестиции!DY68)*Исх.данные!$B$21</f>
        <v>0</v>
      </c>
      <c r="DV7" s="72">
        <f>(Инвестиции!DZ6+Инвестиции!DZ14+Инвестиции!DZ37+Инвестиции!DZ38+Инвестиции!DZ39+Инвестиции!DZ40+Инвестиции!DZ68)*Исх.данные!$B$21</f>
        <v>0</v>
      </c>
      <c r="DW7" s="72">
        <f>(Инвестиции!EA6+Инвестиции!EA14+Инвестиции!EA37+Инвестиции!EA38+Инвестиции!EA39+Инвестиции!EA40+Инвестиции!EA68)*Исх.данные!$B$21</f>
        <v>0</v>
      </c>
      <c r="DX7" s="72">
        <f>(Инвестиции!EB6+Инвестиции!EB14+Инвестиции!EB37+Инвестиции!EB38+Инвестиции!EB39+Инвестиции!EB40+Инвестиции!EB68)*Исх.данные!$B$21</f>
        <v>0</v>
      </c>
      <c r="DY7" s="72">
        <f>(Инвестиции!EC6+Инвестиции!EC14+Инвестиции!EC37+Инвестиции!EC38+Инвестиции!EC39+Инвестиции!EC40+Инвестиции!EC68)*Исх.данные!$B$21</f>
        <v>0</v>
      </c>
      <c r="DZ7" s="72">
        <f>(Инвестиции!ED6+Инвестиции!ED14+Инвестиции!ED37+Инвестиции!ED38+Инвестиции!ED39+Инвестиции!ED40+Инвестиции!ED68)*Исх.данные!$B$21</f>
        <v>0</v>
      </c>
      <c r="EA7" s="72">
        <f>(Инвестиции!EE6+Инвестиции!EE14+Инвестиции!EE37+Инвестиции!EE38+Инвестиции!EE39+Инвестиции!EE40+Инвестиции!EE68)*Исх.данные!$B$21</f>
        <v>0</v>
      </c>
      <c r="EB7" s="72">
        <f>(Инвестиции!EF6+Инвестиции!EF14+Инвестиции!EF37+Инвестиции!EF38+Инвестиции!EF39+Инвестиции!EF40+Инвестиции!EF68)*Исх.данные!$B$21</f>
        <v>0</v>
      </c>
      <c r="EC7" s="72">
        <f>(Инвестиции!EG6+Инвестиции!EG14+Инвестиции!EG37+Инвестиции!EG38+Инвестиции!EG39+Инвестиции!EG40+Инвестиции!EG68)*Исх.данные!$B$21</f>
        <v>0</v>
      </c>
    </row>
    <row r="8" spans="1:133" s="416" customFormat="1" ht="13.15" customHeight="1">
      <c r="A8" s="415" t="s">
        <v>201</v>
      </c>
      <c r="B8" s="72">
        <v>0</v>
      </c>
      <c r="C8" s="72">
        <f>IF(B8&gt;0,0,B8)+(C4-C5-C6-C7)</f>
        <v>0</v>
      </c>
      <c r="D8" s="72">
        <f t="shared" ref="D8:M8" si="0">IF(C8&gt;0,0,C8)+(D4-D5-D6-D7)</f>
        <v>0</v>
      </c>
      <c r="E8" s="72">
        <f t="shared" si="0"/>
        <v>0</v>
      </c>
      <c r="F8" s="72">
        <f t="shared" si="0"/>
        <v>0</v>
      </c>
      <c r="G8" s="72">
        <f t="shared" si="0"/>
        <v>0</v>
      </c>
      <c r="H8" s="72">
        <f t="shared" si="0"/>
        <v>0</v>
      </c>
      <c r="I8" s="72">
        <f t="shared" si="0"/>
        <v>0</v>
      </c>
      <c r="J8" s="72">
        <f t="shared" si="0"/>
        <v>0</v>
      </c>
      <c r="K8" s="72">
        <f t="shared" si="0"/>
        <v>-588.74383333333344</v>
      </c>
      <c r="L8" s="72">
        <f t="shared" si="0"/>
        <v>-588.74383333333344</v>
      </c>
      <c r="M8" s="72">
        <f t="shared" si="0"/>
        <v>-757.41050000000018</v>
      </c>
      <c r="N8" s="72">
        <f t="shared" ref="N8" si="1">IF(M8&gt;0,0,M8)+(N4-N5-N6-N7)</f>
        <v>-5148.9838333333337</v>
      </c>
      <c r="O8" s="72">
        <f t="shared" ref="O8" si="2">IF(N8&gt;0,0,N8)+(O4-O5-O6-O7)</f>
        <v>-7783.890666666668</v>
      </c>
      <c r="P8" s="72">
        <f t="shared" ref="P8" si="3">IF(O8&gt;0,0,O8)+(P4-P5-P6-P7)</f>
        <v>-7849.7706666666681</v>
      </c>
      <c r="Q8" s="72">
        <f t="shared" ref="Q8" si="4">IF(P8&gt;0,0,P8)+(Q4-Q5-Q6-Q7)</f>
        <v>-15397.849000000002</v>
      </c>
      <c r="R8" s="72">
        <f t="shared" ref="R8" si="5">IF(Q8&gt;0,0,Q8)+(R4-R5-R6-R7)</f>
        <v>-16659.482333333337</v>
      </c>
      <c r="S8" s="72">
        <f t="shared" ref="S8" si="6">IF(R8&gt;0,0,R8)+(S4-S5-S6-S7)</f>
        <v>-16765.407333333336</v>
      </c>
      <c r="T8" s="72">
        <f t="shared" ref="T8" si="7">IF(S8&gt;0,0,S8)+(T4-T5-T6-T7)</f>
        <v>-16860.440666666669</v>
      </c>
      <c r="U8" s="72">
        <f t="shared" ref="U8" si="8">IF(T8&gt;0,0,T8)+(U4-U5-U6-U7)</f>
        <v>-16868.324000000004</v>
      </c>
      <c r="V8" s="72">
        <f t="shared" ref="V8:W8" si="9">IF(U8&gt;0,0,U8)+(V4-V5-V6-V7)</f>
        <v>-19352.08433333334</v>
      </c>
      <c r="W8" s="72">
        <f t="shared" si="9"/>
        <v>-28058.939000000006</v>
      </c>
      <c r="X8" s="72">
        <f t="shared" ref="X8" si="10">IF(W8&gt;0,0,W8)+(X4-X5-X6-X7)</f>
        <v>-28370.022333333338</v>
      </c>
      <c r="Y8" s="72">
        <f t="shared" ref="Y8" si="11">IF(X8&gt;0,0,X8)+(Y4-Y5-Y6-Y7)</f>
        <v>-29603.050358333337</v>
      </c>
      <c r="Z8" s="72">
        <f t="shared" ref="Z8" si="12">IF(Y8&gt;0,0,Y8)+(Z4-Z5-Z6-Z7)</f>
        <v>-30841.580865000004</v>
      </c>
      <c r="AA8" s="72">
        <f t="shared" ref="AA8:AC8" si="13">IF(Z8&gt;0,0,Z8)+(AA4-AA5-AA6-AA7)</f>
        <v>-31692.802691666671</v>
      </c>
      <c r="AB8" s="72">
        <f t="shared" si="13"/>
        <v>-35817.821091666672</v>
      </c>
      <c r="AC8" s="72">
        <f t="shared" si="13"/>
        <v>-34530.042708333342</v>
      </c>
      <c r="AD8" s="72">
        <f t="shared" ref="AD8" si="14">IF(AC8&gt;0,0,AC8)+(AD4-AD5-AD6-AD7)</f>
        <v>-33198.251975000006</v>
      </c>
      <c r="AE8" s="72">
        <f t="shared" ref="AE8" si="15">IF(AD8&gt;0,0,AD8)+(AE4-AE5-AE6-AE7)</f>
        <v>-32824.394337222227</v>
      </c>
      <c r="AF8" s="72">
        <f t="shared" ref="AF8" si="16">IF(AE8&gt;0,0,AE8)+(AF4-AF5-AF6-AF7)</f>
        <v>-31887.17861944445</v>
      </c>
      <c r="AG8" s="72">
        <f t="shared" ref="AG8" si="17">IF(AF8&gt;0,0,AF8)+(AG4-AG5-AG6-AG7)</f>
        <v>-30034.506021666672</v>
      </c>
      <c r="AH8" s="72">
        <f t="shared" ref="AH8" si="18">IF(AG8&gt;0,0,AG8)+(AH4-AH5-AH6-AH7)</f>
        <v>-27125.537023888894</v>
      </c>
      <c r="AI8" s="72">
        <f t="shared" ref="AI8" si="19">IF(AH8&gt;0,0,AH8)+(AI4-AI5-AI6-AI7)</f>
        <v>-23371.530906111118</v>
      </c>
      <c r="AJ8" s="72">
        <f t="shared" ref="AJ8" si="20">IF(AI8&gt;0,0,AI8)+(AJ4-AJ5-AJ6-AJ7)</f>
        <v>-17833.721239444454</v>
      </c>
      <c r="AK8" s="72">
        <f t="shared" ref="AK8" si="21">IF(AJ8&gt;0,0,AJ8)+(AK4-AK5-AK6-AK7)</f>
        <v>-17841.467672777788</v>
      </c>
      <c r="AL8" s="72">
        <f t="shared" ref="AL8" si="22">IF(AK8&gt;0,0,AK8)+(AL4-AL5-AL6-AL7)</f>
        <v>-18742.913143444453</v>
      </c>
      <c r="AM8" s="72">
        <f t="shared" ref="AM8" si="23">IF(AL8&gt;0,0,AL8)+(AM4-AM5-AM6-AM7)</f>
        <v>-18892.371118111118</v>
      </c>
      <c r="AN8" s="72">
        <f t="shared" ref="AN8" si="24">IF(AM8&gt;0,0,AM8)+(AN4-AN5-AN6-AN7)</f>
        <v>-17725.850974777786</v>
      </c>
      <c r="AO8" s="72">
        <f t="shared" ref="AO8" si="25">IF(AN8&gt;0,0,AN8)+(AO4-AO5-AO6-AO7)</f>
        <v>-15431.349587444452</v>
      </c>
      <c r="AP8" s="72">
        <f t="shared" ref="AP8" si="26">IF(AO8&gt;0,0,AO8)+(AP4-AP5-AP6-AP7)</f>
        <v>-13324.845074111119</v>
      </c>
      <c r="AQ8" s="72">
        <f t="shared" ref="AQ8" si="27">IF(AP8&gt;0,0,AP8)+(AQ4-AQ5-AQ6-AQ7)</f>
        <v>-12139.773357888895</v>
      </c>
      <c r="AR8" s="72">
        <f t="shared" ref="AR8" si="28">IF(AQ8&gt;0,0,AQ8)+(AR4-AR5-AR6-AR7)</f>
        <v>-10202.71414566667</v>
      </c>
      <c r="AS8" s="72">
        <f t="shared" ref="AS8" si="29">IF(AR8&gt;0,0,AR8)+(AS4-AS5-AS6-AS7)</f>
        <v>-7043.6752524444491</v>
      </c>
      <c r="AT8" s="72">
        <f t="shared" ref="AT8" si="30">IF(AS8&gt;0,0,AS8)+(AT4-AT5-AT6-AT7)</f>
        <v>-2474.6598042222249</v>
      </c>
      <c r="AU8" s="72">
        <f t="shared" ref="AU8" si="31">IF(AT8&gt;0,0,AT8)+(AU4-AU5-AU6-AU7)</f>
        <v>3222.3368879999998</v>
      </c>
      <c r="AV8" s="72">
        <f t="shared" ref="AV8" si="32">IF(AU8&gt;0,0,AU8)+(AV4-AV5-AV6-AV7)</f>
        <v>7746.4107333333304</v>
      </c>
      <c r="AW8" s="72">
        <f t="shared" ref="AW8" si="33">IF(AV8&gt;0,0,AV8)+(AW4-AW5-AW6-AW7)</f>
        <v>-55.459537666667075</v>
      </c>
      <c r="AX8" s="72">
        <f t="shared" ref="AX8" si="34">IF(AW8&gt;0,0,AW8)+(AX4-AX5-AX6-AX7)</f>
        <v>-970.46101372000066</v>
      </c>
      <c r="AY8" s="72">
        <f t="shared" ref="AY8" si="35">IF(AX8&gt;0,0,AX8)+(AY4-AY5-AY6-AY7)</f>
        <v>-1082.9182024933341</v>
      </c>
      <c r="AZ8" s="72">
        <f t="shared" ref="AZ8" si="36">IF(AY8&gt;0,0,AY8)+(AZ4-AZ5-AZ6-AZ7)</f>
        <v>209.07711147333225</v>
      </c>
      <c r="BA8" s="72">
        <f t="shared" ref="BA8" si="37">IF(AZ8&gt;0,0,AZ8)+(BA4-BA5-BA6-BA7)</f>
        <v>2495.8117448866669</v>
      </c>
      <c r="BB8" s="72">
        <f t="shared" ref="BB8" si="38">IF(BA8&gt;0,0,BA8)+(BB4-BB5-BB6-BB7)</f>
        <v>2295.1756730666675</v>
      </c>
      <c r="BC8" s="72">
        <f t="shared" ref="BC8" si="39">IF(BB8&gt;0,0,BB8)+(BC4-BC5-BC6-BC7)</f>
        <v>1256.9576379244436</v>
      </c>
      <c r="BD8" s="72">
        <f t="shared" ref="BD8" si="40">IF(BC8&gt;0,0,BC8)+(BD4-BD5-BD6-BD7)</f>
        <v>2059.5019252044449</v>
      </c>
      <c r="BE8" s="72">
        <f t="shared" ref="BE8" si="41">IF(BD8&gt;0,0,BD8)+(BE4-BE5-BE6-BE7)</f>
        <v>3363.6363920344411</v>
      </c>
      <c r="BF8" s="72">
        <f t="shared" ref="BF8" si="42">IF(BE8&gt;0,0,BE8)+(BF4-BF5-BF6-BF7)</f>
        <v>4868.406930684444</v>
      </c>
      <c r="BG8" s="72">
        <f t="shared" ref="BG8" si="43">IF(BF8&gt;0,0,BF8)+(BG4-BG5-BG6-BG7)</f>
        <v>6072.2233616044441</v>
      </c>
      <c r="BH8" s="72">
        <f t="shared" ref="BH8" si="44">IF(BG8&gt;0,0,BG8)+(BH4-BH5-BH6-BH7)</f>
        <v>8314.2578276666682</v>
      </c>
      <c r="BI8" s="72">
        <f t="shared" ref="BI8" si="45">IF(BH8&gt;0,0,BH8)+(BI4-BI5-BI6-BI7)</f>
        <v>-12.139152863333265</v>
      </c>
      <c r="BJ8" s="72">
        <f t="shared" ref="BJ8" si="46">IF(BI8&gt;0,0,BI8)+(BJ4-BJ5-BJ6-BJ7)</f>
        <v>-944.10521691159988</v>
      </c>
      <c r="BK8" s="72">
        <f t="shared" ref="BK8" si="47">IF(BJ8&gt;0,0,BJ8)+(BK4-BK5-BK6-BK7)</f>
        <v>-1020.0536403414662</v>
      </c>
      <c r="BL8" s="72">
        <f t="shared" ref="BL8" si="48">IF(BK8&gt;0,0,BK8)+(BL4-BL5-BL6-BL7)</f>
        <v>402.02880731086816</v>
      </c>
      <c r="BM8" s="72">
        <f t="shared" ref="BM8" si="49">IF(BL8&gt;0,0,BL8)+(BM4-BM5-BM6-BM7)</f>
        <v>2706.1089085799358</v>
      </c>
      <c r="BN8" s="72">
        <f t="shared" ref="BN8" si="50">IF(BM8&gt;0,0,BM8)+(BN4-BN5-BN6-BN7)</f>
        <v>2492.1044984253331</v>
      </c>
      <c r="BO8" s="72">
        <f t="shared" ref="BO8" si="51">IF(BN8&gt;0,0,BN8)+(BO4-BO5-BO6-BO7)</f>
        <v>3348.122139043734</v>
      </c>
      <c r="BP8" s="72">
        <f t="shared" ref="BP8" si="52">IF(BO8&gt;0,0,BO8)+(BP4-BP5-BP6-BP7)</f>
        <v>4204.1397796621359</v>
      </c>
      <c r="BQ8" s="72">
        <f t="shared" ref="BQ8" si="53">IF(BP8&gt;0,0,BP8)+(BQ4-BQ5-BQ6-BQ7)</f>
        <v>5595.1684456670318</v>
      </c>
      <c r="BR8" s="72">
        <f t="shared" ref="BR8" si="54">IF(BQ8&gt;0,0,BQ8)+(BR4-BR5-BR6-BR7)</f>
        <v>7200.2015218265387</v>
      </c>
      <c r="BS8" s="72">
        <f t="shared" ref="BS8" si="55">IF(BR8&gt;0,0,BR8)+(BS4-BS5-BS6-BS7)</f>
        <v>8484.2279827541352</v>
      </c>
      <c r="BT8" s="72">
        <f t="shared" ref="BT8" si="56">IF(BS8&gt;0,0,BS8)+(BT4-BT5-BT6-BT7)</f>
        <v>8912.236803063337</v>
      </c>
      <c r="BU8" s="72">
        <f t="shared" ref="BU8" si="57">IF(BT8&gt;0,0,BT8)+(BU4-BU5-BU6-BU7)</f>
        <v>31.053781647433652</v>
      </c>
      <c r="BV8" s="72">
        <f t="shared" ref="BV8" si="58">IF(BU8&gt;0,0,BU8)+(BV4-BV5-BV6-BV7)</f>
        <v>-1063.3082298903814</v>
      </c>
      <c r="BW8" s="72">
        <f t="shared" ref="BW8" si="59">IF(BV8&gt;0,0,BV8)+(BW4-BW5-BW6-BW7)</f>
        <v>-1214.0514139878103</v>
      </c>
      <c r="BX8" s="72">
        <f t="shared" ref="BX8" si="60">IF(BW8&gt;0,0,BW8)+(BX4-BX5-BX6-BX7)</f>
        <v>232.19423205242606</v>
      </c>
      <c r="BY8" s="72">
        <f t="shared" ref="BY8" si="61">IF(BX8&gt;0,0,BX8)+(BY4-BY5-BY6-BY7)</f>
        <v>2815.0932147296667</v>
      </c>
      <c r="BZ8" s="72">
        <f t="shared" ref="BZ8" si="62">IF(BY8&gt;0,0,BY8)+(BZ4-BZ5-BZ6-BZ7)</f>
        <v>2586.951953281427</v>
      </c>
      <c r="CA8" s="72">
        <f t="shared" ref="CA8" si="63">IF(BZ8&gt;0,0,BZ8)+(CA4-CA5-CA6-CA7)</f>
        <v>3499.5169990743784</v>
      </c>
      <c r="CB8" s="72">
        <f t="shared" ref="CB8" si="64">IF(CA8&gt;0,0,CA8)+(CB4-CB5-CB6-CB7)</f>
        <v>4412.082044867333</v>
      </c>
      <c r="CC8" s="72">
        <f t="shared" ref="CC8" si="65">IF(CB8&gt;0,0,CB8)+(CC4-CC5-CC6-CC7)</f>
        <v>5895.0002442808782</v>
      </c>
      <c r="CD8" s="72">
        <f t="shared" ref="CD8" si="66">IF(CC8&gt;0,0,CC8)+(CD4-CD5-CD6-CD7)</f>
        <v>7606.0597051426666</v>
      </c>
      <c r="CE8" s="72">
        <f t="shared" ref="CE8" si="67">IF(CD8&gt;0,0,CD8)+(CE4-CE5-CE6-CE7)</f>
        <v>8974.9072738320901</v>
      </c>
      <c r="CF8" s="72">
        <f t="shared" ref="CF8" si="68">IF(CE8&gt;0,0,CE8)+(CF4-CF5-CF6-CF7)</f>
        <v>9431.1897967285713</v>
      </c>
      <c r="CG8" s="72">
        <f t="shared" ref="CG8" si="69">IF(CF8&gt;0,0,CF8)+(CG4-CG5-CG6-CG7)</f>
        <v>-36.672553373309256</v>
      </c>
      <c r="CH8" s="72">
        <f t="shared" ref="CH8" si="70">IF(CG8&gt;0,0,CG8)+(CH4-CH5-CH6-CH7)</f>
        <v>-1247.2985242929349</v>
      </c>
      <c r="CI8" s="72">
        <f t="shared" ref="CI8" si="71">IF(CH8&gt;0,0,CH8)+(CI4-CI5-CI6-CI7)</f>
        <v>-1485.5722782920193</v>
      </c>
      <c r="CJ8" s="72">
        <f t="shared" ref="CJ8" si="72">IF(CI8&gt;0,0,CI8)+(CJ4-CJ5-CJ6-CJ7)</f>
        <v>-22.229652680157415</v>
      </c>
      <c r="CK8" s="72">
        <f t="shared" ref="CK8" si="73">IF(CJ8&gt;0,0,CJ8)+(CK4-CK5-CK6-CK7)</f>
        <v>2899.641298312516</v>
      </c>
      <c r="CL8" s="72">
        <f t="shared" ref="CL8" si="74">IF(CK8&gt;0,0,CK8)+(CL4-CL5-CL6-CL7)</f>
        <v>2678.7828967625369</v>
      </c>
      <c r="CM8" s="72">
        <f t="shared" ref="CM8" si="75">IF(CL8&gt;0,0,CL8)+(CM4-CM5-CM6-CM7)</f>
        <v>3651.1351136830776</v>
      </c>
      <c r="CN8" s="72">
        <f t="shared" ref="CN8" si="76">IF(CM8&gt;0,0,CM8)+(CN4-CN5-CN6-CN7)</f>
        <v>4623.4873306036188</v>
      </c>
      <c r="CO8" s="72">
        <f t="shared" ref="CO8" si="77">IF(CN8&gt;0,0,CN8)+(CO4-CO5-CO6-CO7)</f>
        <v>6203.5596830994964</v>
      </c>
      <c r="CP8" s="72">
        <f t="shared" ref="CP8" si="78">IF(CO8&gt;0,0,CO8)+(CP4-CP5-CP6-CP7)</f>
        <v>8026.7200898255123</v>
      </c>
      <c r="CQ8" s="72">
        <f t="shared" ref="CQ8" si="79">IF(CP8&gt;0,0,CP8)+(CQ4-CQ5-CQ6-CQ7)</f>
        <v>9485.2484152063225</v>
      </c>
      <c r="CR8" s="72">
        <f t="shared" ref="CR8" si="80">IF(CQ8&gt;0,0,CQ8)+(CR4-CR5-CR6-CR7)</f>
        <v>9971.424523666592</v>
      </c>
      <c r="CS8" s="72">
        <f t="shared" ref="CS8" si="81">IF(CR8&gt;0,0,CR8)+(CS4-CS5-CS6-CS7)</f>
        <v>-116.7297268840166</v>
      </c>
      <c r="CT8" s="72">
        <f t="shared" ref="CT8" si="82">IF(CS8&gt;0,0,CS8)+(CT4-CT5-CT6-CT7)</f>
        <v>-1492.4155348482491</v>
      </c>
      <c r="CU8" s="72">
        <f t="shared" ref="CU8" si="83">IF(CT8&gt;0,0,CT8)+(CU4-CU5-CU6-CU7)</f>
        <v>-1832.5478286428338</v>
      </c>
      <c r="CV8" s="72">
        <f t="shared" ref="CV8" si="84">IF(CU8&gt;0,0,CU8)+(CV4-CV5-CV6-CV7)</f>
        <v>-360.46147264053616</v>
      </c>
      <c r="CW8" s="72">
        <f t="shared" ref="CW8" si="85">IF(CV8&gt;0,0,CV8)+(CW4-CW5-CW6-CW7)</f>
        <v>2664.9551546162315</v>
      </c>
      <c r="CX8" s="72">
        <f t="shared" ref="CX8" si="86">IF(CW8&gt;0,0,CW8)+(CX4-CX5-CX6-CX7)</f>
        <v>2766.5282487143545</v>
      </c>
      <c r="CY8" s="72">
        <f t="shared" ref="CY8" si="87">IF(CX8&gt;0,0,CX8)+(CY4-CY5-CY6-CY7)</f>
        <v>3802.0817628840018</v>
      </c>
      <c r="CZ8" s="72">
        <f t="shared" ref="CZ8" si="88">IF(CY8&gt;0,0,CY8)+(CZ4-CZ5-CZ6-CZ7)</f>
        <v>4837.6352770536505</v>
      </c>
      <c r="DA8" s="72">
        <f t="shared" ref="DA8" si="89">IF(CZ8&gt;0,0,CZ8)+(DA4-DA5-DA6-DA7)</f>
        <v>6520.4097375793262</v>
      </c>
      <c r="DB8" s="72">
        <f t="shared" ref="DB8" si="90">IF(DA8&gt;0,0,DA8)+(DB4-DB5-DB6-DB7)</f>
        <v>8462.0725766474152</v>
      </c>
      <c r="DC8" s="72">
        <f t="shared" ref="DC8" si="91">IF(DB8&gt;0,0,DB8)+(DC4-DC5-DC6-DC7)</f>
        <v>10015.402847901883</v>
      </c>
      <c r="DD8" s="72">
        <f t="shared" ref="DD8" si="92">IF(DC8&gt;0,0,DC8)+(DD4-DD5-DD6-DD7)</f>
        <v>10533.179604986708</v>
      </c>
      <c r="DE8" s="72">
        <f t="shared" ref="DE8" si="93">IF(DD8&gt;0,0,DD8)+(DE4-DE5-DE6-DE7)</f>
        <v>-210.68810452337902</v>
      </c>
      <c r="DF8" s="72">
        <f t="shared" ref="DF8" si="94">IF(DE8&gt;0,0,DE8)+(DF4-DF5-DF6-DF7)</f>
        <v>-1771.128194592719</v>
      </c>
      <c r="DG8" s="72">
        <f t="shared" ref="DG8" si="95">IF(DF8&gt;0,0,DF8)+(DG4-DG5-DG6-DG7)</f>
        <v>-2229.2158977887575</v>
      </c>
      <c r="DH8" s="72">
        <f t="shared" ref="DH8" si="96">IF(DG8&gt;0,0,DG8)+(DH4-DH5-DH6-DH7)</f>
        <v>-758.18692395651897</v>
      </c>
      <c r="DI8" s="72">
        <f t="shared" ref="DI8" si="97">IF(DH8&gt;0,0,DH8)+(DI4-DI5-DI6-DI7)</f>
        <v>2366.3706301856701</v>
      </c>
      <c r="DJ8" s="72">
        <f t="shared" ref="DJ8" si="98">IF(DI8&gt;0,0,DI8)+(DJ4-DJ5-DJ6-DJ7)</f>
        <v>2848.9694574238642</v>
      </c>
      <c r="DK8" s="72">
        <f t="shared" ref="DK8" si="99">IF(DJ8&gt;0,0,DJ8)+(DK4-DK5-DK6-DK7)</f>
        <v>3951.3218442971661</v>
      </c>
      <c r="DL8" s="72">
        <f t="shared" ref="DL8" si="100">IF(DK8&gt;0,0,DK8)+(DL4-DL5-DL6-DL7)</f>
        <v>5053.6742311704675</v>
      </c>
      <c r="DM8" s="72">
        <f t="shared" ref="DM8" si="101">IF(DL8&gt;0,0,DL8)+(DM4-DM5-DM6-DM7)</f>
        <v>6844.996859839579</v>
      </c>
      <c r="DN8" s="72">
        <f t="shared" ref="DN8" si="102">IF(DM8&gt;0,0,DM8)+(DN4-DN5-DN6-DN7)</f>
        <v>8911.907585227018</v>
      </c>
      <c r="DO8" s="72">
        <f t="shared" ref="DO8" si="103">IF(DN8&gt;0,0,DN8)+(DO4-DO5-DO6-DO7)</f>
        <v>10565.436165536976</v>
      </c>
      <c r="DP8" s="72">
        <f t="shared" ref="DP8" si="104">IF(DO8&gt;0,0,DO8)+(DP4-DP5-DP6-DP7)</f>
        <v>11116.612358973623</v>
      </c>
      <c r="DQ8" s="72">
        <f t="shared" ref="DQ8" si="105">IF(DP8&gt;0,0,DP8)+(DQ4-DQ5-DQ6-DQ7)</f>
        <v>-320.2936548368757</v>
      </c>
      <c r="DR8" s="72">
        <f t="shared" ref="DR8" si="106">IF(DQ8&gt;0,0,DQ8)+(DR4-DR5-DR6-DR7)</f>
        <v>-2087.3397072788375</v>
      </c>
      <c r="DS8" s="72">
        <f t="shared" ref="DS8" si="107">IF(DR8&gt;0,0,DR8)+(DS4-DS5-DS6-DS7)</f>
        <v>-2681.443920598806</v>
      </c>
      <c r="DT8" s="72">
        <f t="shared" ref="DT8" si="108">IF(DS8&gt;0,0,DS8)+(DT4-DT5-DT6-DT7)</f>
        <v>-1222.8999154552876</v>
      </c>
      <c r="DU8" s="72">
        <f t="shared" ref="DU8" si="109">IF(DT8&gt;0,0,DT8)+(DU4-DU5-DU6-DU7)</f>
        <v>1995.0568483712191</v>
      </c>
      <c r="DV8" s="72">
        <f t="shared" ref="DV8" si="110">IF(DU8&gt;0,0,DU8)+(DV4-DV5-DV6-DV7)</f>
        <v>2924.7213040460097</v>
      </c>
      <c r="DW8" s="72">
        <f t="shared" ref="DW8" si="111">IF(DV8&gt;0,0,DV8)+(DW4-DW5-DW6-DW7)</f>
        <v>4097.6631431680016</v>
      </c>
      <c r="DX8" s="72">
        <f t="shared" ref="DX8" si="112">IF(DW8&gt;0,0,DW8)+(DX4-DX5-DX6-DX7)</f>
        <v>5270.6049822899968</v>
      </c>
      <c r="DY8" s="72">
        <f t="shared" ref="DY8" si="113">IF(DX8&gt;0,0,DX8)+(DY4-DY5-DY6-DY7)</f>
        <v>7176.6354708632298</v>
      </c>
      <c r="DZ8" s="72">
        <f t="shared" ref="DZ8" si="114">IF(DY8&gt;0,0,DY8)+(DZ4-DZ5-DZ6-DZ7)</f>
        <v>9375.9014192169707</v>
      </c>
      <c r="EA8" s="72">
        <f t="shared" ref="EA8" si="115">IF(DZ8&gt;0,0,DZ8)+(EA4-EA5-EA6-EA7)</f>
        <v>11135.314177899958</v>
      </c>
      <c r="EB8" s="72">
        <f t="shared" ref="EB8" si="116">IF(EA8&gt;0,0,EA8)+(EB4-EB5-EB6-EB7)</f>
        <v>11721.785097460952</v>
      </c>
      <c r="EC8" s="72">
        <f t="shared" ref="EC8" si="117">IF(EB8&gt;0,0,EB8)+(EC4-EC5-EC6-EC7)</f>
        <v>-447.4864834297191</v>
      </c>
    </row>
    <row r="9" spans="1:133" s="418" customFormat="1" ht="13.15" customHeight="1">
      <c r="A9" s="417" t="s">
        <v>171</v>
      </c>
      <c r="B9" s="96">
        <f>IF(B8&lt;0,0,B8)</f>
        <v>0</v>
      </c>
      <c r="C9" s="96">
        <f t="shared" ref="C9:AC9" si="118">IF(C8&lt;0,0,C8)</f>
        <v>0</v>
      </c>
      <c r="D9" s="96">
        <f t="shared" si="118"/>
        <v>0</v>
      </c>
      <c r="E9" s="96">
        <f t="shared" si="118"/>
        <v>0</v>
      </c>
      <c r="F9" s="96">
        <f t="shared" si="118"/>
        <v>0</v>
      </c>
      <c r="G9" s="96">
        <f t="shared" si="118"/>
        <v>0</v>
      </c>
      <c r="H9" s="96">
        <f t="shared" si="118"/>
        <v>0</v>
      </c>
      <c r="I9" s="96">
        <f t="shared" si="118"/>
        <v>0</v>
      </c>
      <c r="J9" s="96">
        <f t="shared" si="118"/>
        <v>0</v>
      </c>
      <c r="K9" s="96">
        <f t="shared" si="118"/>
        <v>0</v>
      </c>
      <c r="L9" s="96">
        <f t="shared" si="118"/>
        <v>0</v>
      </c>
      <c r="M9" s="96">
        <f t="shared" si="118"/>
        <v>0</v>
      </c>
      <c r="N9" s="96">
        <f t="shared" si="118"/>
        <v>0</v>
      </c>
      <c r="O9" s="96">
        <f t="shared" si="118"/>
        <v>0</v>
      </c>
      <c r="P9" s="96">
        <f t="shared" si="118"/>
        <v>0</v>
      </c>
      <c r="Q9" s="96">
        <f t="shared" si="118"/>
        <v>0</v>
      </c>
      <c r="R9" s="96">
        <f t="shared" si="118"/>
        <v>0</v>
      </c>
      <c r="S9" s="96">
        <f t="shared" si="118"/>
        <v>0</v>
      </c>
      <c r="T9" s="96">
        <f t="shared" si="118"/>
        <v>0</v>
      </c>
      <c r="U9" s="96">
        <f t="shared" si="118"/>
        <v>0</v>
      </c>
      <c r="V9" s="96">
        <f t="shared" si="118"/>
        <v>0</v>
      </c>
      <c r="W9" s="96">
        <f t="shared" si="118"/>
        <v>0</v>
      </c>
      <c r="X9" s="96">
        <f t="shared" si="118"/>
        <v>0</v>
      </c>
      <c r="Y9" s="96">
        <f t="shared" si="118"/>
        <v>0</v>
      </c>
      <c r="Z9" s="96">
        <f t="shared" si="118"/>
        <v>0</v>
      </c>
      <c r="AA9" s="96">
        <f t="shared" si="118"/>
        <v>0</v>
      </c>
      <c r="AB9" s="96">
        <f t="shared" si="118"/>
        <v>0</v>
      </c>
      <c r="AC9" s="96">
        <f t="shared" si="118"/>
        <v>0</v>
      </c>
      <c r="AD9" s="96">
        <f t="shared" ref="AD9" si="119">IF(AD8&lt;0,0,AD8)</f>
        <v>0</v>
      </c>
      <c r="AE9" s="96">
        <f t="shared" ref="AE9" si="120">IF(AE8&lt;0,0,AE8)</f>
        <v>0</v>
      </c>
      <c r="AF9" s="96">
        <f t="shared" ref="AF9" si="121">IF(AF8&lt;0,0,AF8)</f>
        <v>0</v>
      </c>
      <c r="AG9" s="96">
        <f t="shared" ref="AG9" si="122">IF(AG8&lt;0,0,AG8)</f>
        <v>0</v>
      </c>
      <c r="AH9" s="96">
        <f t="shared" ref="AH9" si="123">IF(AH8&lt;0,0,AH8)</f>
        <v>0</v>
      </c>
      <c r="AI9" s="96">
        <f t="shared" ref="AI9" si="124">IF(AI8&lt;0,0,AI8)</f>
        <v>0</v>
      </c>
      <c r="AJ9" s="96">
        <f t="shared" ref="AJ9" si="125">IF(AJ8&lt;0,0,AJ8)</f>
        <v>0</v>
      </c>
      <c r="AK9" s="96">
        <f t="shared" ref="AK9" si="126">IF(AK8&lt;0,0,AK8)</f>
        <v>0</v>
      </c>
      <c r="AL9" s="96">
        <f t="shared" ref="AL9" si="127">IF(AL8&lt;0,0,AL8)</f>
        <v>0</v>
      </c>
      <c r="AM9" s="96">
        <f t="shared" ref="AM9" si="128">IF(AM8&lt;0,0,AM8)</f>
        <v>0</v>
      </c>
      <c r="AN9" s="96">
        <f t="shared" ref="AN9" si="129">IF(AN8&lt;0,0,AN8)</f>
        <v>0</v>
      </c>
      <c r="AO9" s="96">
        <f t="shared" ref="AO9" si="130">IF(AO8&lt;0,0,AO8)</f>
        <v>0</v>
      </c>
      <c r="AP9" s="96">
        <f t="shared" ref="AP9" si="131">IF(AP8&lt;0,0,AP8)</f>
        <v>0</v>
      </c>
      <c r="AQ9" s="96">
        <f t="shared" ref="AQ9" si="132">IF(AQ8&lt;0,0,AQ8)</f>
        <v>0</v>
      </c>
      <c r="AR9" s="96">
        <f t="shared" ref="AR9" si="133">IF(AR8&lt;0,0,AR8)</f>
        <v>0</v>
      </c>
      <c r="AS9" s="96">
        <f t="shared" ref="AS9" si="134">IF(AS8&lt;0,0,AS8)</f>
        <v>0</v>
      </c>
      <c r="AT9" s="96">
        <f t="shared" ref="AT9" si="135">IF(AT8&lt;0,0,AT8)</f>
        <v>0</v>
      </c>
      <c r="AU9" s="96">
        <f t="shared" ref="AU9" si="136">IF(AU8&lt;0,0,AU8)</f>
        <v>3222.3368879999998</v>
      </c>
      <c r="AV9" s="96">
        <f t="shared" ref="AV9" si="137">IF(AV8&lt;0,0,AV8)</f>
        <v>7746.4107333333304</v>
      </c>
      <c r="AW9" s="96">
        <f t="shared" ref="AW9" si="138">IF(AW8&lt;0,0,AW8)</f>
        <v>0</v>
      </c>
      <c r="AX9" s="96">
        <f t="shared" ref="AX9" si="139">IF(AX8&lt;0,0,AX8)</f>
        <v>0</v>
      </c>
      <c r="AY9" s="96">
        <f t="shared" ref="AY9" si="140">IF(AY8&lt;0,0,AY8)</f>
        <v>0</v>
      </c>
      <c r="AZ9" s="96">
        <f t="shared" ref="AZ9" si="141">IF(AZ8&lt;0,0,AZ8)</f>
        <v>209.07711147333225</v>
      </c>
      <c r="BA9" s="96">
        <f t="shared" ref="BA9" si="142">IF(BA8&lt;0,0,BA8)</f>
        <v>2495.8117448866669</v>
      </c>
      <c r="BB9" s="96">
        <f t="shared" ref="BB9" si="143">IF(BB8&lt;0,0,BB8)</f>
        <v>2295.1756730666675</v>
      </c>
      <c r="BC9" s="96">
        <f t="shared" ref="BC9" si="144">IF(BC8&lt;0,0,BC8)</f>
        <v>1256.9576379244436</v>
      </c>
      <c r="BD9" s="96">
        <f t="shared" ref="BD9" si="145">IF(BD8&lt;0,0,BD8)</f>
        <v>2059.5019252044449</v>
      </c>
      <c r="BE9" s="96">
        <f t="shared" ref="BE9" si="146">IF(BE8&lt;0,0,BE8)</f>
        <v>3363.6363920344411</v>
      </c>
      <c r="BF9" s="96">
        <f t="shared" ref="BF9" si="147">IF(BF8&lt;0,0,BF8)</f>
        <v>4868.406930684444</v>
      </c>
      <c r="BG9" s="96">
        <f t="shared" ref="BG9" si="148">IF(BG8&lt;0,0,BG8)</f>
        <v>6072.2233616044441</v>
      </c>
      <c r="BH9" s="96">
        <f t="shared" ref="BH9" si="149">IF(BH8&lt;0,0,BH8)</f>
        <v>8314.2578276666682</v>
      </c>
      <c r="BI9" s="96">
        <f t="shared" ref="BI9" si="150">IF(BI8&lt;0,0,BI8)</f>
        <v>0</v>
      </c>
      <c r="BJ9" s="96">
        <f t="shared" ref="BJ9" si="151">IF(BJ8&lt;0,0,BJ8)</f>
        <v>0</v>
      </c>
      <c r="BK9" s="96">
        <f t="shared" ref="BK9" si="152">IF(BK8&lt;0,0,BK8)</f>
        <v>0</v>
      </c>
      <c r="BL9" s="96">
        <f t="shared" ref="BL9" si="153">IF(BL8&lt;0,0,BL8)</f>
        <v>402.02880731086816</v>
      </c>
      <c r="BM9" s="96">
        <f t="shared" ref="BM9" si="154">IF(BM8&lt;0,0,BM8)</f>
        <v>2706.1089085799358</v>
      </c>
      <c r="BN9" s="96">
        <f t="shared" ref="BN9" si="155">IF(BN8&lt;0,0,BN8)</f>
        <v>2492.1044984253331</v>
      </c>
      <c r="BO9" s="96">
        <f t="shared" ref="BO9" si="156">IF(BO8&lt;0,0,BO8)</f>
        <v>3348.122139043734</v>
      </c>
      <c r="BP9" s="96">
        <f t="shared" ref="BP9" si="157">IF(BP8&lt;0,0,BP8)</f>
        <v>4204.1397796621359</v>
      </c>
      <c r="BQ9" s="96">
        <f t="shared" ref="BQ9" si="158">IF(BQ8&lt;0,0,BQ8)</f>
        <v>5595.1684456670318</v>
      </c>
      <c r="BR9" s="96">
        <f t="shared" ref="BR9" si="159">IF(BR8&lt;0,0,BR8)</f>
        <v>7200.2015218265387</v>
      </c>
      <c r="BS9" s="96">
        <f t="shared" ref="BS9" si="160">IF(BS8&lt;0,0,BS8)</f>
        <v>8484.2279827541352</v>
      </c>
      <c r="BT9" s="96">
        <f t="shared" ref="BT9" si="161">IF(BT8&lt;0,0,BT8)</f>
        <v>8912.236803063337</v>
      </c>
      <c r="BU9" s="96">
        <f t="shared" ref="BU9" si="162">IF(BU8&lt;0,0,BU8)</f>
        <v>31.053781647433652</v>
      </c>
      <c r="BV9" s="96">
        <f t="shared" ref="BV9" si="163">IF(BV8&lt;0,0,BV8)</f>
        <v>0</v>
      </c>
      <c r="BW9" s="96">
        <f t="shared" ref="BW9" si="164">IF(BW8&lt;0,0,BW8)</f>
        <v>0</v>
      </c>
      <c r="BX9" s="96">
        <f t="shared" ref="BX9" si="165">IF(BX8&lt;0,0,BX8)</f>
        <v>232.19423205242606</v>
      </c>
      <c r="BY9" s="96">
        <f t="shared" ref="BY9" si="166">IF(BY8&lt;0,0,BY8)</f>
        <v>2815.0932147296667</v>
      </c>
      <c r="BZ9" s="96">
        <f t="shared" ref="BZ9" si="167">IF(BZ8&lt;0,0,BZ8)</f>
        <v>2586.951953281427</v>
      </c>
      <c r="CA9" s="96">
        <f t="shared" ref="CA9" si="168">IF(CA8&lt;0,0,CA8)</f>
        <v>3499.5169990743784</v>
      </c>
      <c r="CB9" s="96">
        <f t="shared" ref="CB9" si="169">IF(CB8&lt;0,0,CB8)</f>
        <v>4412.082044867333</v>
      </c>
      <c r="CC9" s="96">
        <f t="shared" ref="CC9" si="170">IF(CC8&lt;0,0,CC8)</f>
        <v>5895.0002442808782</v>
      </c>
      <c r="CD9" s="96">
        <f t="shared" ref="CD9" si="171">IF(CD8&lt;0,0,CD8)</f>
        <v>7606.0597051426666</v>
      </c>
      <c r="CE9" s="96">
        <f t="shared" ref="CE9" si="172">IF(CE8&lt;0,0,CE8)</f>
        <v>8974.9072738320901</v>
      </c>
      <c r="CF9" s="96">
        <f t="shared" ref="CF9" si="173">IF(CF8&lt;0,0,CF8)</f>
        <v>9431.1897967285713</v>
      </c>
      <c r="CG9" s="96">
        <f t="shared" ref="CG9" si="174">IF(CG8&lt;0,0,CG8)</f>
        <v>0</v>
      </c>
      <c r="CH9" s="96">
        <f t="shared" ref="CH9" si="175">IF(CH8&lt;0,0,CH8)</f>
        <v>0</v>
      </c>
      <c r="CI9" s="96">
        <f t="shared" ref="CI9" si="176">IF(CI8&lt;0,0,CI8)</f>
        <v>0</v>
      </c>
      <c r="CJ9" s="96">
        <f t="shared" ref="CJ9" si="177">IF(CJ8&lt;0,0,CJ8)</f>
        <v>0</v>
      </c>
      <c r="CK9" s="96">
        <f t="shared" ref="CK9" si="178">IF(CK8&lt;0,0,CK8)</f>
        <v>2899.641298312516</v>
      </c>
      <c r="CL9" s="96">
        <f t="shared" ref="CL9" si="179">IF(CL8&lt;0,0,CL8)</f>
        <v>2678.7828967625369</v>
      </c>
      <c r="CM9" s="96">
        <f t="shared" ref="CM9" si="180">IF(CM8&lt;0,0,CM8)</f>
        <v>3651.1351136830776</v>
      </c>
      <c r="CN9" s="96">
        <f t="shared" ref="CN9" si="181">IF(CN8&lt;0,0,CN8)</f>
        <v>4623.4873306036188</v>
      </c>
      <c r="CO9" s="96">
        <f t="shared" ref="CO9" si="182">IF(CO8&lt;0,0,CO8)</f>
        <v>6203.5596830994964</v>
      </c>
      <c r="CP9" s="96">
        <f t="shared" ref="CP9" si="183">IF(CP8&lt;0,0,CP8)</f>
        <v>8026.7200898255123</v>
      </c>
      <c r="CQ9" s="96">
        <f t="shared" ref="CQ9" si="184">IF(CQ8&lt;0,0,CQ8)</f>
        <v>9485.2484152063225</v>
      </c>
      <c r="CR9" s="96">
        <f t="shared" ref="CR9" si="185">IF(CR8&lt;0,0,CR8)</f>
        <v>9971.424523666592</v>
      </c>
      <c r="CS9" s="96">
        <f t="shared" ref="CS9" si="186">IF(CS8&lt;0,0,CS8)</f>
        <v>0</v>
      </c>
      <c r="CT9" s="96">
        <f t="shared" ref="CT9" si="187">IF(CT8&lt;0,0,CT8)</f>
        <v>0</v>
      </c>
      <c r="CU9" s="96">
        <f t="shared" ref="CU9" si="188">IF(CU8&lt;0,0,CU8)</f>
        <v>0</v>
      </c>
      <c r="CV9" s="96">
        <f t="shared" ref="CV9" si="189">IF(CV8&lt;0,0,CV8)</f>
        <v>0</v>
      </c>
      <c r="CW9" s="96">
        <f t="shared" ref="CW9" si="190">IF(CW8&lt;0,0,CW8)</f>
        <v>2664.9551546162315</v>
      </c>
      <c r="CX9" s="96">
        <f t="shared" ref="CX9" si="191">IF(CX8&lt;0,0,CX8)</f>
        <v>2766.5282487143545</v>
      </c>
      <c r="CY9" s="96">
        <f t="shared" ref="CY9" si="192">IF(CY8&lt;0,0,CY8)</f>
        <v>3802.0817628840018</v>
      </c>
      <c r="CZ9" s="96">
        <f t="shared" ref="CZ9" si="193">IF(CZ8&lt;0,0,CZ8)</f>
        <v>4837.6352770536505</v>
      </c>
      <c r="DA9" s="96">
        <f t="shared" ref="DA9" si="194">IF(DA8&lt;0,0,DA8)</f>
        <v>6520.4097375793262</v>
      </c>
      <c r="DB9" s="96">
        <f t="shared" ref="DB9" si="195">IF(DB8&lt;0,0,DB8)</f>
        <v>8462.0725766474152</v>
      </c>
      <c r="DC9" s="96">
        <f t="shared" ref="DC9" si="196">IF(DC8&lt;0,0,DC8)</f>
        <v>10015.402847901883</v>
      </c>
      <c r="DD9" s="96">
        <f t="shared" ref="DD9" si="197">IF(DD8&lt;0,0,DD8)</f>
        <v>10533.179604986708</v>
      </c>
      <c r="DE9" s="96">
        <f t="shared" ref="DE9" si="198">IF(DE8&lt;0,0,DE8)</f>
        <v>0</v>
      </c>
      <c r="DF9" s="96">
        <f t="shared" ref="DF9" si="199">IF(DF8&lt;0,0,DF8)</f>
        <v>0</v>
      </c>
      <c r="DG9" s="96">
        <f t="shared" ref="DG9" si="200">IF(DG8&lt;0,0,DG8)</f>
        <v>0</v>
      </c>
      <c r="DH9" s="96">
        <f t="shared" ref="DH9" si="201">IF(DH8&lt;0,0,DH8)</f>
        <v>0</v>
      </c>
      <c r="DI9" s="96">
        <f t="shared" ref="DI9" si="202">IF(DI8&lt;0,0,DI8)</f>
        <v>2366.3706301856701</v>
      </c>
      <c r="DJ9" s="96">
        <f t="shared" ref="DJ9" si="203">IF(DJ8&lt;0,0,DJ8)</f>
        <v>2848.9694574238642</v>
      </c>
      <c r="DK9" s="96">
        <f t="shared" ref="DK9" si="204">IF(DK8&lt;0,0,DK8)</f>
        <v>3951.3218442971661</v>
      </c>
      <c r="DL9" s="96">
        <f t="shared" ref="DL9" si="205">IF(DL8&lt;0,0,DL8)</f>
        <v>5053.6742311704675</v>
      </c>
      <c r="DM9" s="96">
        <f t="shared" ref="DM9" si="206">IF(DM8&lt;0,0,DM8)</f>
        <v>6844.996859839579</v>
      </c>
      <c r="DN9" s="96">
        <f t="shared" ref="DN9" si="207">IF(DN8&lt;0,0,DN8)</f>
        <v>8911.907585227018</v>
      </c>
      <c r="DO9" s="96">
        <f t="shared" ref="DO9" si="208">IF(DO8&lt;0,0,DO8)</f>
        <v>10565.436165536976</v>
      </c>
      <c r="DP9" s="96">
        <f t="shared" ref="DP9" si="209">IF(DP8&lt;0,0,DP8)</f>
        <v>11116.612358973623</v>
      </c>
      <c r="DQ9" s="96">
        <f t="shared" ref="DQ9" si="210">IF(DQ8&lt;0,0,DQ8)</f>
        <v>0</v>
      </c>
      <c r="DR9" s="96">
        <f t="shared" ref="DR9" si="211">IF(DR8&lt;0,0,DR8)</f>
        <v>0</v>
      </c>
      <c r="DS9" s="96">
        <f t="shared" ref="DS9" si="212">IF(DS8&lt;0,0,DS8)</f>
        <v>0</v>
      </c>
      <c r="DT9" s="96">
        <f t="shared" ref="DT9" si="213">IF(DT8&lt;0,0,DT8)</f>
        <v>0</v>
      </c>
      <c r="DU9" s="96">
        <f t="shared" ref="DU9" si="214">IF(DU8&lt;0,0,DU8)</f>
        <v>1995.0568483712191</v>
      </c>
      <c r="DV9" s="96">
        <f t="shared" ref="DV9" si="215">IF(DV8&lt;0,0,DV8)</f>
        <v>2924.7213040460097</v>
      </c>
      <c r="DW9" s="96">
        <f t="shared" ref="DW9" si="216">IF(DW8&lt;0,0,DW8)</f>
        <v>4097.6631431680016</v>
      </c>
      <c r="DX9" s="96">
        <f t="shared" ref="DX9" si="217">IF(DX8&lt;0,0,DX8)</f>
        <v>5270.6049822899968</v>
      </c>
      <c r="DY9" s="96">
        <f t="shared" ref="DY9" si="218">IF(DY8&lt;0,0,DY8)</f>
        <v>7176.6354708632298</v>
      </c>
      <c r="DZ9" s="96">
        <f t="shared" ref="DZ9" si="219">IF(DZ8&lt;0,0,DZ8)</f>
        <v>9375.9014192169707</v>
      </c>
      <c r="EA9" s="96">
        <f t="shared" ref="EA9" si="220">IF(EA8&lt;0,0,EA8)</f>
        <v>11135.314177899958</v>
      </c>
      <c r="EB9" s="96">
        <f t="shared" ref="EB9" si="221">IF(EB8&lt;0,0,EB8)</f>
        <v>11721.785097460952</v>
      </c>
      <c r="EC9" s="96">
        <f t="shared" ref="EC9" si="222">IF(EC8&lt;0,0,EC8)</f>
        <v>0</v>
      </c>
    </row>
    <row r="10" spans="1:133" s="418" customFormat="1" ht="13.15" customHeight="1">
      <c r="A10" s="419" t="s">
        <v>209</v>
      </c>
      <c r="B10" s="96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f>Исх.данные!B38*Исх.данные!B22/4</f>
        <v>74.125222912499993</v>
      </c>
      <c r="N10" s="96">
        <v>0</v>
      </c>
      <c r="O10" s="96">
        <v>0</v>
      </c>
      <c r="P10" s="96">
        <f>M10</f>
        <v>74.125222912499993</v>
      </c>
      <c r="Q10" s="96">
        <v>0</v>
      </c>
      <c r="R10" s="96">
        <v>0</v>
      </c>
      <c r="S10" s="96">
        <f>P10</f>
        <v>74.125222912499993</v>
      </c>
      <c r="T10" s="96">
        <v>0</v>
      </c>
      <c r="U10" s="96">
        <v>0</v>
      </c>
      <c r="V10" s="96">
        <f>S10</f>
        <v>74.125222912499993</v>
      </c>
      <c r="W10" s="96">
        <v>0</v>
      </c>
      <c r="X10" s="96">
        <v>0</v>
      </c>
      <c r="Y10" s="96">
        <f>V10</f>
        <v>74.125222912499993</v>
      </c>
      <c r="Z10" s="96">
        <v>0</v>
      </c>
      <c r="AA10" s="96">
        <v>0</v>
      </c>
      <c r="AB10" s="96">
        <f>Y10</f>
        <v>74.125222912499993</v>
      </c>
      <c r="AC10" s="96">
        <v>0</v>
      </c>
      <c r="AD10" s="96">
        <v>0</v>
      </c>
      <c r="AE10" s="96">
        <f>AB10</f>
        <v>74.125222912499993</v>
      </c>
      <c r="AF10" s="96">
        <v>0</v>
      </c>
      <c r="AG10" s="96">
        <v>0</v>
      </c>
      <c r="AH10" s="96">
        <f>AE10</f>
        <v>74.125222912499993</v>
      </c>
      <c r="AI10" s="96">
        <v>0</v>
      </c>
      <c r="AJ10" s="96">
        <v>0</v>
      </c>
      <c r="AK10" s="96">
        <f>AH10</f>
        <v>74.125222912499993</v>
      </c>
      <c r="AL10" s="96">
        <v>0</v>
      </c>
      <c r="AM10" s="96">
        <v>0</v>
      </c>
      <c r="AN10" s="96">
        <f>AK10</f>
        <v>74.125222912499993</v>
      </c>
      <c r="AO10" s="96">
        <v>0</v>
      </c>
      <c r="AP10" s="96">
        <v>0</v>
      </c>
      <c r="AQ10" s="96">
        <f>AN10</f>
        <v>74.125222912499993</v>
      </c>
      <c r="AR10" s="96">
        <v>0</v>
      </c>
      <c r="AS10" s="96">
        <v>0</v>
      </c>
      <c r="AT10" s="96">
        <f>AQ10</f>
        <v>74.125222912499993</v>
      </c>
      <c r="AU10" s="96">
        <v>0</v>
      </c>
      <c r="AV10" s="96">
        <v>0</v>
      </c>
      <c r="AW10" s="96">
        <f>AT10</f>
        <v>74.125222912499993</v>
      </c>
      <c r="AX10" s="96">
        <v>0</v>
      </c>
      <c r="AY10" s="96">
        <v>0</v>
      </c>
      <c r="AZ10" s="96">
        <f>AW10</f>
        <v>74.125222912499993</v>
      </c>
      <c r="BA10" s="96">
        <v>0</v>
      </c>
      <c r="BB10" s="96">
        <v>0</v>
      </c>
      <c r="BC10" s="96">
        <f>AZ10</f>
        <v>74.125222912499993</v>
      </c>
      <c r="BD10" s="96">
        <v>0</v>
      </c>
      <c r="BE10" s="96">
        <v>0</v>
      </c>
      <c r="BF10" s="96">
        <f>BC10</f>
        <v>74.125222912499993</v>
      </c>
      <c r="BG10" s="96">
        <v>0</v>
      </c>
      <c r="BH10" s="96">
        <v>0</v>
      </c>
      <c r="BI10" s="96">
        <f>BF10</f>
        <v>74.125222912499993</v>
      </c>
      <c r="BJ10" s="96">
        <v>0</v>
      </c>
      <c r="BK10" s="96">
        <v>0</v>
      </c>
      <c r="BL10" s="96">
        <f>BI10</f>
        <v>74.125222912499993</v>
      </c>
      <c r="BM10" s="96">
        <v>0</v>
      </c>
      <c r="BN10" s="96">
        <v>0</v>
      </c>
      <c r="BO10" s="96">
        <f>BL10</f>
        <v>74.125222912499993</v>
      </c>
      <c r="BP10" s="96">
        <v>0</v>
      </c>
      <c r="BQ10" s="96">
        <v>0</v>
      </c>
      <c r="BR10" s="96">
        <f>BO10</f>
        <v>74.125222912499993</v>
      </c>
      <c r="BS10" s="96">
        <v>0</v>
      </c>
      <c r="BT10" s="96">
        <v>0</v>
      </c>
      <c r="BU10" s="96">
        <f>BR10</f>
        <v>74.125222912499993</v>
      </c>
      <c r="BV10" s="96">
        <v>0</v>
      </c>
      <c r="BW10" s="96">
        <v>0</v>
      </c>
      <c r="BX10" s="96">
        <f>BU10</f>
        <v>74.125222912499993</v>
      </c>
      <c r="BY10" s="96">
        <v>0</v>
      </c>
      <c r="BZ10" s="96">
        <v>0</v>
      </c>
      <c r="CA10" s="96">
        <f>BX10</f>
        <v>74.125222912499993</v>
      </c>
      <c r="CB10" s="96">
        <v>0</v>
      </c>
      <c r="CC10" s="96">
        <v>0</v>
      </c>
      <c r="CD10" s="96">
        <f>CA10</f>
        <v>74.125222912499993</v>
      </c>
      <c r="CE10" s="96">
        <v>0</v>
      </c>
      <c r="CF10" s="96">
        <v>0</v>
      </c>
      <c r="CG10" s="96">
        <f>CD10</f>
        <v>74.125222912499993</v>
      </c>
      <c r="CH10" s="96">
        <v>0</v>
      </c>
      <c r="CI10" s="96">
        <v>0</v>
      </c>
      <c r="CJ10" s="96">
        <f>CG10</f>
        <v>74.125222912499993</v>
      </c>
      <c r="CK10" s="96">
        <v>0</v>
      </c>
      <c r="CL10" s="96">
        <v>0</v>
      </c>
      <c r="CM10" s="96">
        <f>CJ10</f>
        <v>74.125222912499993</v>
      </c>
      <c r="CN10" s="96">
        <v>0</v>
      </c>
      <c r="CO10" s="96">
        <v>0</v>
      </c>
      <c r="CP10" s="96">
        <f>CM10</f>
        <v>74.125222912499993</v>
      </c>
      <c r="CQ10" s="96">
        <v>0</v>
      </c>
      <c r="CR10" s="96">
        <v>0</v>
      </c>
      <c r="CS10" s="96">
        <f>CP10</f>
        <v>74.125222912499993</v>
      </c>
      <c r="CT10" s="96">
        <v>0</v>
      </c>
      <c r="CU10" s="96">
        <v>0</v>
      </c>
      <c r="CV10" s="96">
        <f>CS10</f>
        <v>74.125222912499993</v>
      </c>
      <c r="CW10" s="96">
        <v>0</v>
      </c>
      <c r="CX10" s="96">
        <v>0</v>
      </c>
      <c r="CY10" s="96">
        <f>CV10</f>
        <v>74.125222912499993</v>
      </c>
      <c r="CZ10" s="96">
        <v>0</v>
      </c>
      <c r="DA10" s="96">
        <v>0</v>
      </c>
      <c r="DB10" s="96">
        <f>CY10</f>
        <v>74.125222912499993</v>
      </c>
      <c r="DC10" s="96">
        <v>0</v>
      </c>
      <c r="DD10" s="96">
        <v>0</v>
      </c>
      <c r="DE10" s="96">
        <f>DB10</f>
        <v>74.125222912499993</v>
      </c>
      <c r="DF10" s="96">
        <v>0</v>
      </c>
      <c r="DG10" s="96">
        <v>0</v>
      </c>
      <c r="DH10" s="96">
        <f>DE10</f>
        <v>74.125222912499993</v>
      </c>
      <c r="DI10" s="96">
        <v>0</v>
      </c>
      <c r="DJ10" s="96">
        <v>0</v>
      </c>
      <c r="DK10" s="96">
        <f>DH10</f>
        <v>74.125222912499993</v>
      </c>
      <c r="DL10" s="96">
        <v>0</v>
      </c>
      <c r="DM10" s="96">
        <v>0</v>
      </c>
      <c r="DN10" s="96">
        <f>DK10</f>
        <v>74.125222912499993</v>
      </c>
      <c r="DO10" s="96">
        <v>0</v>
      </c>
      <c r="DP10" s="96">
        <v>0</v>
      </c>
      <c r="DQ10" s="96">
        <f>DN10</f>
        <v>74.125222912499993</v>
      </c>
      <c r="DR10" s="96">
        <v>0</v>
      </c>
      <c r="DS10" s="96">
        <v>0</v>
      </c>
      <c r="DT10" s="96">
        <f>DQ10</f>
        <v>74.125222912499993</v>
      </c>
      <c r="DU10" s="96">
        <v>0</v>
      </c>
      <c r="DV10" s="96">
        <v>0</v>
      </c>
      <c r="DW10" s="96">
        <f>DT10</f>
        <v>74.125222912499993</v>
      </c>
      <c r="DX10" s="96">
        <v>0</v>
      </c>
      <c r="DY10" s="96">
        <v>0</v>
      </c>
      <c r="DZ10" s="96">
        <f>DW10</f>
        <v>74.125222912499993</v>
      </c>
      <c r="EA10" s="96">
        <v>0</v>
      </c>
      <c r="EB10" s="96">
        <v>0</v>
      </c>
      <c r="EC10" s="96">
        <f>DZ10</f>
        <v>74.125222912499993</v>
      </c>
    </row>
    <row r="11" spans="1:133" s="418" customFormat="1" ht="13.15" customHeight="1">
      <c r="A11" s="419" t="s">
        <v>32</v>
      </c>
      <c r="B11" s="96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96">
        <v>0</v>
      </c>
      <c r="R11" s="96">
        <v>0</v>
      </c>
      <c r="S11" s="96">
        <v>0</v>
      </c>
      <c r="T11" s="96">
        <v>0</v>
      </c>
      <c r="U11" s="96">
        <v>0</v>
      </c>
      <c r="V11" s="96">
        <v>0</v>
      </c>
      <c r="W11" s="96">
        <v>0</v>
      </c>
      <c r="X11" s="96">
        <v>0</v>
      </c>
      <c r="Y11" s="96">
        <v>0</v>
      </c>
      <c r="Z11" s="96">
        <v>0</v>
      </c>
      <c r="AA11" s="96">
        <v>0</v>
      </c>
      <c r="AB11" s="96">
        <v>0</v>
      </c>
      <c r="AC11" s="96">
        <v>0</v>
      </c>
      <c r="AD11" s="96">
        <f>$D$20/8</f>
        <v>1892.2134662347207</v>
      </c>
      <c r="AE11" s="96">
        <f t="shared" ref="AE11:AK11" si="223">$D$20/8</f>
        <v>1892.2134662347207</v>
      </c>
      <c r="AF11" s="96">
        <f t="shared" si="223"/>
        <v>1892.2134662347207</v>
      </c>
      <c r="AG11" s="96">
        <f t="shared" si="223"/>
        <v>1892.2134662347207</v>
      </c>
      <c r="AH11" s="96">
        <f t="shared" si="223"/>
        <v>1892.2134662347207</v>
      </c>
      <c r="AI11" s="96">
        <f t="shared" si="223"/>
        <v>1892.2134662347207</v>
      </c>
      <c r="AJ11" s="96">
        <f t="shared" si="223"/>
        <v>1892.2134662347207</v>
      </c>
      <c r="AK11" s="96">
        <f t="shared" si="223"/>
        <v>1892.2134662347207</v>
      </c>
      <c r="AL11" s="96">
        <f t="shared" ref="AL11:AW11" si="224">$E$20/12</f>
        <v>1983.1907372850303</v>
      </c>
      <c r="AM11" s="96">
        <f t="shared" si="224"/>
        <v>1983.1907372850303</v>
      </c>
      <c r="AN11" s="96">
        <f t="shared" si="224"/>
        <v>1983.1907372850303</v>
      </c>
      <c r="AO11" s="96">
        <f t="shared" si="224"/>
        <v>1983.1907372850303</v>
      </c>
      <c r="AP11" s="96">
        <f t="shared" si="224"/>
        <v>1983.1907372850303</v>
      </c>
      <c r="AQ11" s="96">
        <f t="shared" si="224"/>
        <v>1983.1907372850303</v>
      </c>
      <c r="AR11" s="96">
        <f t="shared" si="224"/>
        <v>1983.1907372850303</v>
      </c>
      <c r="AS11" s="96">
        <f t="shared" si="224"/>
        <v>1983.1907372850303</v>
      </c>
      <c r="AT11" s="96">
        <f t="shared" si="224"/>
        <v>1983.1907372850303</v>
      </c>
      <c r="AU11" s="96">
        <f t="shared" si="224"/>
        <v>1983.1907372850303</v>
      </c>
      <c r="AV11" s="96">
        <f t="shared" si="224"/>
        <v>1983.1907372850303</v>
      </c>
      <c r="AW11" s="96">
        <f t="shared" si="224"/>
        <v>1983.1907372850303</v>
      </c>
      <c r="AX11" s="96">
        <f t="shared" ref="AX11:BI11" si="225">$F$20/12</f>
        <v>1801.8114202111267</v>
      </c>
      <c r="AY11" s="96">
        <f t="shared" si="225"/>
        <v>1801.8114202111267</v>
      </c>
      <c r="AZ11" s="96">
        <f t="shared" si="225"/>
        <v>1801.8114202111267</v>
      </c>
      <c r="BA11" s="96">
        <f t="shared" si="225"/>
        <v>1801.8114202111267</v>
      </c>
      <c r="BB11" s="96">
        <f t="shared" si="225"/>
        <v>1801.8114202111267</v>
      </c>
      <c r="BC11" s="96">
        <f t="shared" si="225"/>
        <v>1801.8114202111267</v>
      </c>
      <c r="BD11" s="96">
        <f t="shared" si="225"/>
        <v>1801.8114202111267</v>
      </c>
      <c r="BE11" s="96">
        <f t="shared" si="225"/>
        <v>1801.8114202111267</v>
      </c>
      <c r="BF11" s="96">
        <f t="shared" si="225"/>
        <v>1801.8114202111267</v>
      </c>
      <c r="BG11" s="96">
        <f t="shared" si="225"/>
        <v>1801.8114202111267</v>
      </c>
      <c r="BH11" s="96">
        <f t="shared" si="225"/>
        <v>1801.8114202111267</v>
      </c>
      <c r="BI11" s="96">
        <f t="shared" si="225"/>
        <v>1801.8114202111267</v>
      </c>
      <c r="BJ11" s="96">
        <f t="shared" ref="BJ11:BU11" si="226">$G$20/12</f>
        <v>1778.1087176518922</v>
      </c>
      <c r="BK11" s="96">
        <f t="shared" si="226"/>
        <v>1778.1087176518922</v>
      </c>
      <c r="BL11" s="96">
        <f t="shared" si="226"/>
        <v>1778.1087176518922</v>
      </c>
      <c r="BM11" s="96">
        <f t="shared" si="226"/>
        <v>1778.1087176518922</v>
      </c>
      <c r="BN11" s="96">
        <f t="shared" si="226"/>
        <v>1778.1087176518922</v>
      </c>
      <c r="BO11" s="96">
        <f t="shared" si="226"/>
        <v>1778.1087176518922</v>
      </c>
      <c r="BP11" s="96">
        <f t="shared" si="226"/>
        <v>1778.1087176518922</v>
      </c>
      <c r="BQ11" s="96">
        <f t="shared" si="226"/>
        <v>1778.1087176518922</v>
      </c>
      <c r="BR11" s="96">
        <f t="shared" si="226"/>
        <v>1778.1087176518922</v>
      </c>
      <c r="BS11" s="96">
        <f t="shared" si="226"/>
        <v>1778.1087176518922</v>
      </c>
      <c r="BT11" s="96">
        <f>$G$20/12</f>
        <v>1778.1087176518922</v>
      </c>
      <c r="BU11" s="96">
        <f t="shared" si="226"/>
        <v>1778.1087176518922</v>
      </c>
      <c r="BV11" s="96">
        <f t="shared" ref="BV11:CG11" si="227">$H$20/12</f>
        <v>1871.9720304602126</v>
      </c>
      <c r="BW11" s="96">
        <f t="shared" si="227"/>
        <v>1871.9720304602126</v>
      </c>
      <c r="BX11" s="96">
        <f t="shared" si="227"/>
        <v>1871.9720304602126</v>
      </c>
      <c r="BY11" s="96">
        <f t="shared" si="227"/>
        <v>1871.9720304602126</v>
      </c>
      <c r="BZ11" s="96">
        <f t="shared" si="227"/>
        <v>1871.9720304602126</v>
      </c>
      <c r="CA11" s="96">
        <f t="shared" si="227"/>
        <v>1871.9720304602126</v>
      </c>
      <c r="CB11" s="96">
        <f t="shared" si="227"/>
        <v>1871.9720304602126</v>
      </c>
      <c r="CC11" s="96">
        <f t="shared" si="227"/>
        <v>1871.9720304602126</v>
      </c>
      <c r="CD11" s="96">
        <f t="shared" si="227"/>
        <v>1871.9720304602126</v>
      </c>
      <c r="CE11" s="96">
        <f t="shared" si="227"/>
        <v>1871.9720304602126</v>
      </c>
      <c r="CF11" s="96">
        <f t="shared" si="227"/>
        <v>1871.9720304602126</v>
      </c>
      <c r="CG11" s="96">
        <f t="shared" si="227"/>
        <v>1871.9720304602126</v>
      </c>
      <c r="CH11" s="96">
        <f t="shared" ref="CH11:CS11" si="228">$I$20/12</f>
        <v>1954.4987579548117</v>
      </c>
      <c r="CI11" s="96">
        <f t="shared" si="228"/>
        <v>1954.4987579548117</v>
      </c>
      <c r="CJ11" s="96">
        <f t="shared" si="228"/>
        <v>1954.4987579548117</v>
      </c>
      <c r="CK11" s="96">
        <f t="shared" si="228"/>
        <v>1954.4987579548117</v>
      </c>
      <c r="CL11" s="96">
        <f t="shared" si="228"/>
        <v>1954.4987579548117</v>
      </c>
      <c r="CM11" s="96">
        <f t="shared" si="228"/>
        <v>1954.4987579548117</v>
      </c>
      <c r="CN11" s="96">
        <f t="shared" si="228"/>
        <v>1954.4987579548117</v>
      </c>
      <c r="CO11" s="96">
        <f t="shared" si="228"/>
        <v>1954.4987579548117</v>
      </c>
      <c r="CP11" s="96">
        <f t="shared" si="228"/>
        <v>1954.4987579548117</v>
      </c>
      <c r="CQ11" s="96">
        <f t="shared" si="228"/>
        <v>1954.4987579548117</v>
      </c>
      <c r="CR11" s="96">
        <f t="shared" si="228"/>
        <v>1954.4987579548117</v>
      </c>
      <c r="CS11" s="96">
        <f t="shared" si="228"/>
        <v>1954.4987579548117</v>
      </c>
      <c r="CT11" s="96">
        <f t="shared" ref="CT11:DE11" si="229">$J$20/12</f>
        <v>2013.1747399296744</v>
      </c>
      <c r="CU11" s="96">
        <f t="shared" si="229"/>
        <v>2013.1747399296744</v>
      </c>
      <c r="CV11" s="96">
        <f t="shared" si="229"/>
        <v>2013.1747399296744</v>
      </c>
      <c r="CW11" s="96">
        <f t="shared" si="229"/>
        <v>2013.1747399296744</v>
      </c>
      <c r="CX11" s="96">
        <f t="shared" si="229"/>
        <v>2013.1747399296744</v>
      </c>
      <c r="CY11" s="96">
        <f t="shared" si="229"/>
        <v>2013.1747399296744</v>
      </c>
      <c r="CZ11" s="96">
        <f t="shared" si="229"/>
        <v>2013.1747399296744</v>
      </c>
      <c r="DA11" s="96">
        <f t="shared" si="229"/>
        <v>2013.1747399296744</v>
      </c>
      <c r="DB11" s="96">
        <f t="shared" si="229"/>
        <v>2013.1747399296744</v>
      </c>
      <c r="DC11" s="96">
        <f t="shared" si="229"/>
        <v>2013.1747399296744</v>
      </c>
      <c r="DD11" s="96">
        <f t="shared" si="229"/>
        <v>2013.1747399296744</v>
      </c>
      <c r="DE11" s="96">
        <f t="shared" si="229"/>
        <v>2013.1747399296744</v>
      </c>
      <c r="DF11" s="96">
        <f t="shared" ref="DF11:DQ11" si="230">$K$20/12</f>
        <v>2055.046546001874</v>
      </c>
      <c r="DG11" s="96">
        <f t="shared" si="230"/>
        <v>2055.046546001874</v>
      </c>
      <c r="DH11" s="96">
        <f t="shared" si="230"/>
        <v>2055.046546001874</v>
      </c>
      <c r="DI11" s="96">
        <f t="shared" si="230"/>
        <v>2055.046546001874</v>
      </c>
      <c r="DJ11" s="96">
        <f t="shared" si="230"/>
        <v>2055.046546001874</v>
      </c>
      <c r="DK11" s="96">
        <f t="shared" si="230"/>
        <v>2055.046546001874</v>
      </c>
      <c r="DL11" s="96">
        <f t="shared" si="230"/>
        <v>2055.046546001874</v>
      </c>
      <c r="DM11" s="96">
        <f t="shared" si="230"/>
        <v>2055.046546001874</v>
      </c>
      <c r="DN11" s="96">
        <f t="shared" si="230"/>
        <v>2055.046546001874</v>
      </c>
      <c r="DO11" s="96">
        <f t="shared" si="230"/>
        <v>2055.046546001874</v>
      </c>
      <c r="DP11" s="96">
        <f t="shared" si="230"/>
        <v>2055.046546001874</v>
      </c>
      <c r="DQ11" s="96">
        <f t="shared" si="230"/>
        <v>2055.046546001874</v>
      </c>
      <c r="DR11" s="96">
        <f t="shared" ref="DR11:EC11" si="231">$L$20/12</f>
        <v>2073.4807327940403</v>
      </c>
      <c r="DS11" s="96">
        <f t="shared" si="231"/>
        <v>2073.4807327940403</v>
      </c>
      <c r="DT11" s="96">
        <f t="shared" si="231"/>
        <v>2073.4807327940403</v>
      </c>
      <c r="DU11" s="96">
        <f t="shared" si="231"/>
        <v>2073.4807327940403</v>
      </c>
      <c r="DV11" s="96">
        <f t="shared" si="231"/>
        <v>2073.4807327940403</v>
      </c>
      <c r="DW11" s="96">
        <f t="shared" si="231"/>
        <v>2073.4807327940403</v>
      </c>
      <c r="DX11" s="96">
        <f t="shared" si="231"/>
        <v>2073.4807327940403</v>
      </c>
      <c r="DY11" s="96">
        <f t="shared" si="231"/>
        <v>2073.4807327940403</v>
      </c>
      <c r="DZ11" s="96">
        <f t="shared" si="231"/>
        <v>2073.4807327940403</v>
      </c>
      <c r="EA11" s="96">
        <f t="shared" si="231"/>
        <v>2073.4807327940403</v>
      </c>
      <c r="EB11" s="96">
        <f t="shared" si="231"/>
        <v>2073.4807327940403</v>
      </c>
      <c r="EC11" s="96">
        <f t="shared" si="231"/>
        <v>2073.4807327940403</v>
      </c>
    </row>
    <row r="12" spans="1:133" s="343" customFormat="1" ht="13.15" customHeight="1">
      <c r="A12" s="342" t="s">
        <v>172</v>
      </c>
      <c r="B12" s="96">
        <v>0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  <c r="Q12" s="96">
        <v>0</v>
      </c>
      <c r="R12" s="96">
        <v>0</v>
      </c>
      <c r="S12" s="96">
        <v>0</v>
      </c>
      <c r="T12" s="96">
        <v>0</v>
      </c>
      <c r="U12" s="96">
        <v>0</v>
      </c>
      <c r="V12" s="96">
        <v>0</v>
      </c>
      <c r="W12" s="96">
        <f>Исх.данные!$B$19*Персонал!N24</f>
        <v>0</v>
      </c>
      <c r="X12" s="96">
        <f>Исх.данные!$B$19*Персонал!O24</f>
        <v>557.49199999999996</v>
      </c>
      <c r="Y12" s="96">
        <f>Исх.данные!$B$19*Персонал!P24</f>
        <v>557.49199999999996</v>
      </c>
      <c r="Z12" s="96">
        <f>Исх.данные!$B$19*Персонал!Q24</f>
        <v>557.49199999999996</v>
      </c>
      <c r="AA12" s="96">
        <f>Исх.данные!$B$19*Персонал!R24</f>
        <v>557.49199999999996</v>
      </c>
      <c r="AB12" s="96">
        <f>Исх.данные!$B$19*Персонал!S24</f>
        <v>557.49199999999996</v>
      </c>
      <c r="AC12" s="96">
        <f>Исх.данные!$B$19*Персонал!T24</f>
        <v>557.49199999999996</v>
      </c>
      <c r="AD12" s="96">
        <f>Исх.данные!$B$19*Персонал!U24</f>
        <v>557.49199999999996</v>
      </c>
      <c r="AE12" s="96">
        <f>Исх.данные!$B$19*Персонал!V24</f>
        <v>557.49199999999996</v>
      </c>
      <c r="AF12" s="96">
        <f>Исх.данные!$B$19*Персонал!W24</f>
        <v>557.49199999999996</v>
      </c>
      <c r="AG12" s="96">
        <f>Исх.данные!$B$19*Персонал!X24</f>
        <v>557.49199999999996</v>
      </c>
      <c r="AH12" s="96">
        <f>Исх.данные!$B$19*Персонал!Y24</f>
        <v>557.49199999999996</v>
      </c>
      <c r="AI12" s="96">
        <f>Исх.данные!$B$19*Персонал!Z24</f>
        <v>557.49199999999996</v>
      </c>
      <c r="AJ12" s="96">
        <f>Исх.данные!$B$19*Персонал!AA24</f>
        <v>557.49199999999996</v>
      </c>
      <c r="AK12" s="96">
        <f>Исх.данные!$B$19*Персонал!AB24</f>
        <v>714.83399999999995</v>
      </c>
      <c r="AL12" s="96">
        <f>Исх.данные!$B$19*Персонал!AC24</f>
        <v>786.31740000000002</v>
      </c>
      <c r="AM12" s="96">
        <f>Исх.данные!$B$19*Персонал!AD24</f>
        <v>786.31740000000002</v>
      </c>
      <c r="AN12" s="96">
        <f>Исх.данные!$B$19*Персонал!AE24</f>
        <v>786.31740000000002</v>
      </c>
      <c r="AO12" s="96">
        <f>Исх.данные!$B$19*Персонал!AF24</f>
        <v>786.31740000000002</v>
      </c>
      <c r="AP12" s="96">
        <f>Исх.данные!$B$19*Персонал!AG24</f>
        <v>786.31740000000002</v>
      </c>
      <c r="AQ12" s="96">
        <f>Исх.данные!$B$19*Персонал!AH24</f>
        <v>786.31740000000002</v>
      </c>
      <c r="AR12" s="96">
        <f>Исх.данные!$B$19*Персонал!AI24</f>
        <v>786.31740000000002</v>
      </c>
      <c r="AS12" s="96">
        <f>Исх.данные!$B$19*Персонал!AJ24</f>
        <v>786.31740000000002</v>
      </c>
      <c r="AT12" s="96">
        <f>Исх.данные!$B$19*Персонал!AK24</f>
        <v>786.31740000000002</v>
      </c>
      <c r="AU12" s="96">
        <f>Исх.данные!$B$19*Персонал!AL24</f>
        <v>786.31740000000002</v>
      </c>
      <c r="AV12" s="96">
        <f>Исх.данные!$B$19*Персонал!AM24</f>
        <v>786.31740000000002</v>
      </c>
      <c r="AW12" s="96">
        <f>Исх.данные!$B$19*Персонал!AN24</f>
        <v>786.31740000000002</v>
      </c>
      <c r="AX12" s="96">
        <f>Исх.данные!$B$19*Персонал!AO24</f>
        <v>864.94914000000017</v>
      </c>
      <c r="AY12" s="96">
        <f>Исх.данные!$B$19*Персонал!AP24</f>
        <v>864.94914000000017</v>
      </c>
      <c r="AZ12" s="96">
        <f>Исх.данные!$B$19*Персонал!AQ24</f>
        <v>864.94914000000017</v>
      </c>
      <c r="BA12" s="96">
        <f>Исх.данные!$B$19*Персонал!AR24</f>
        <v>864.94914000000017</v>
      </c>
      <c r="BB12" s="96">
        <f>Исх.данные!$B$19*Персонал!AS24</f>
        <v>864.94914000000017</v>
      </c>
      <c r="BC12" s="96">
        <f>Исх.данные!$B$19*Персонал!AT24</f>
        <v>864.94914000000017</v>
      </c>
      <c r="BD12" s="96">
        <f>Исх.данные!$B$19*Персонал!AU24</f>
        <v>864.94914000000017</v>
      </c>
      <c r="BE12" s="96">
        <f>Исх.данные!$B$19*Персонал!AV24</f>
        <v>864.94914000000017</v>
      </c>
      <c r="BF12" s="96">
        <f>Исх.данные!$B$19*Персонал!AW24</f>
        <v>864.94914000000017</v>
      </c>
      <c r="BG12" s="96">
        <f>Исх.данные!$B$19*Персонал!AX24</f>
        <v>864.94914000000017</v>
      </c>
      <c r="BH12" s="96">
        <f>Исх.данные!$B$19*Персонал!AY24</f>
        <v>864.94914000000017</v>
      </c>
      <c r="BI12" s="96">
        <f>Исх.данные!$B$19*Персонал!AZ24</f>
        <v>864.94914000000017</v>
      </c>
      <c r="BJ12" s="96">
        <f>Исх.данные!$B$19*Персонал!BA24</f>
        <v>951.44405400000016</v>
      </c>
      <c r="BK12" s="96">
        <f>Исх.данные!$B$19*Персонал!BB24</f>
        <v>951.44405400000016</v>
      </c>
      <c r="BL12" s="96">
        <f>Исх.данные!$B$19*Персонал!BC24</f>
        <v>951.44405400000016</v>
      </c>
      <c r="BM12" s="96">
        <f>Исх.данные!$B$19*Персонал!BD24</f>
        <v>951.44405400000016</v>
      </c>
      <c r="BN12" s="96">
        <f>Исх.данные!$B$19*Персонал!BE24</f>
        <v>951.44405400000016</v>
      </c>
      <c r="BO12" s="96">
        <f>Исх.данные!$B$19*Персонал!BF24</f>
        <v>951.44405400000016</v>
      </c>
      <c r="BP12" s="96">
        <f>Исх.данные!$B$19*Персонал!BG24</f>
        <v>951.44405400000016</v>
      </c>
      <c r="BQ12" s="96">
        <f>Исх.данные!$B$19*Персонал!BH24</f>
        <v>951.44405400000016</v>
      </c>
      <c r="BR12" s="96">
        <f>Исх.данные!$B$19*Персонал!BI24</f>
        <v>951.44405400000016</v>
      </c>
      <c r="BS12" s="96">
        <f>Исх.данные!$B$19*Персонал!BJ24</f>
        <v>951.44405400000016</v>
      </c>
      <c r="BT12" s="96">
        <f>Исх.данные!$B$19*Персонал!BK24</f>
        <v>951.44405400000016</v>
      </c>
      <c r="BU12" s="96">
        <f>Исх.данные!$B$19*Персонал!BL24</f>
        <v>951.44405400000016</v>
      </c>
      <c r="BV12" s="96">
        <f>Исх.данные!$B$19*Персонал!BM24</f>
        <v>1046.5884594000004</v>
      </c>
      <c r="BW12" s="96">
        <f>Исх.данные!$B$19*Персонал!BN24</f>
        <v>1046.5884594000004</v>
      </c>
      <c r="BX12" s="96">
        <f>Исх.данные!$B$19*Персонал!BO24</f>
        <v>1046.5884594000004</v>
      </c>
      <c r="BY12" s="96">
        <f>Исх.данные!$B$19*Персонал!BP24</f>
        <v>1046.5884594000004</v>
      </c>
      <c r="BZ12" s="96">
        <f>Исх.данные!$B$19*Персонал!BQ24</f>
        <v>1046.5884594000004</v>
      </c>
      <c r="CA12" s="96">
        <f>Исх.данные!$B$19*Персонал!BR24</f>
        <v>1046.5884594000004</v>
      </c>
      <c r="CB12" s="96">
        <f>Исх.данные!$B$19*Персонал!BS24</f>
        <v>1046.5884594000004</v>
      </c>
      <c r="CC12" s="96">
        <f>Исх.данные!$B$19*Персонал!BT24</f>
        <v>1046.5884594000004</v>
      </c>
      <c r="CD12" s="96">
        <f>Исх.данные!$B$19*Персонал!BU24</f>
        <v>1046.5884594000004</v>
      </c>
      <c r="CE12" s="96">
        <f>Исх.данные!$B$19*Персонал!BV24</f>
        <v>1046.5884594000004</v>
      </c>
      <c r="CF12" s="96">
        <f>Исх.данные!$B$19*Персонал!BW24</f>
        <v>1046.5884594000004</v>
      </c>
      <c r="CG12" s="96">
        <f>Исх.данные!$B$19*Персонал!BX24</f>
        <v>1046.5884594000004</v>
      </c>
      <c r="CH12" s="96">
        <f>Исх.данные!$B$19*Персонал!BY24</f>
        <v>1151.2473053400004</v>
      </c>
      <c r="CI12" s="96">
        <f>Исх.данные!$B$19*Персонал!BZ24</f>
        <v>1151.2473053400004</v>
      </c>
      <c r="CJ12" s="96">
        <f>Исх.данные!$B$19*Персонал!CA24</f>
        <v>1151.2473053400004</v>
      </c>
      <c r="CK12" s="96">
        <f>Исх.данные!$B$19*Персонал!CB24</f>
        <v>1151.2473053400004</v>
      </c>
      <c r="CL12" s="96">
        <f>Исх.данные!$B$19*Персонал!CC24</f>
        <v>1151.2473053400004</v>
      </c>
      <c r="CM12" s="96">
        <f>Исх.данные!$B$19*Персонал!CD24</f>
        <v>1151.2473053400004</v>
      </c>
      <c r="CN12" s="96">
        <f>Исх.данные!$B$19*Персонал!CE24</f>
        <v>1151.2473053400004</v>
      </c>
      <c r="CO12" s="96">
        <f>Исх.данные!$B$19*Персонал!CF24</f>
        <v>1151.2473053400004</v>
      </c>
      <c r="CP12" s="96">
        <f>Исх.данные!$B$19*Персонал!CG24</f>
        <v>1151.2473053400004</v>
      </c>
      <c r="CQ12" s="96">
        <f>Исх.данные!$B$19*Персонал!CH24</f>
        <v>1151.2473053400004</v>
      </c>
      <c r="CR12" s="96">
        <f>Исх.данные!$B$19*Персонал!CI24</f>
        <v>1151.2473053400004</v>
      </c>
      <c r="CS12" s="96">
        <f>Исх.данные!$B$19*Персонал!CJ24</f>
        <v>1151.2473053400004</v>
      </c>
      <c r="CT12" s="96">
        <f>Исх.данные!$B$19*Персонал!CK24</f>
        <v>1266.3720358740006</v>
      </c>
      <c r="CU12" s="96">
        <f>Исх.данные!$B$19*Персонал!CL24</f>
        <v>1266.3720358740006</v>
      </c>
      <c r="CV12" s="96">
        <f>Исх.данные!$B$19*Персонал!CM24</f>
        <v>1266.3720358740006</v>
      </c>
      <c r="CW12" s="96">
        <f>Исх.данные!$B$19*Персонал!CN24</f>
        <v>1266.3720358740006</v>
      </c>
      <c r="CX12" s="96">
        <f>Исх.данные!$B$19*Персонал!CO24</f>
        <v>1266.3720358740006</v>
      </c>
      <c r="CY12" s="96">
        <f>Исх.данные!$B$19*Персонал!CP24</f>
        <v>1266.3720358740006</v>
      </c>
      <c r="CZ12" s="96">
        <f>Исх.данные!$B$19*Персонал!CQ24</f>
        <v>1266.3720358740006</v>
      </c>
      <c r="DA12" s="96">
        <f>Исх.данные!$B$19*Персонал!CR24</f>
        <v>1266.3720358740006</v>
      </c>
      <c r="DB12" s="96">
        <f>Исх.данные!$B$19*Персонал!CS24</f>
        <v>1266.3720358740006</v>
      </c>
      <c r="DC12" s="96">
        <f>Исх.данные!$B$19*Персонал!CT24</f>
        <v>1266.3720358740006</v>
      </c>
      <c r="DD12" s="96">
        <f>Исх.данные!$B$19*Персонал!CU24</f>
        <v>1266.3720358740006</v>
      </c>
      <c r="DE12" s="96">
        <f>Исх.данные!$B$19*Персонал!CV24</f>
        <v>1266.3720358740006</v>
      </c>
      <c r="DF12" s="96">
        <f>Исх.данные!$B$19*Персонал!CW24</f>
        <v>1393.0092394614007</v>
      </c>
      <c r="DG12" s="96">
        <f>Исх.данные!$B$19*Персонал!CX24</f>
        <v>1393.0092394614007</v>
      </c>
      <c r="DH12" s="96">
        <f>Исх.данные!$B$19*Персонал!CY24</f>
        <v>1393.0092394614007</v>
      </c>
      <c r="DI12" s="96">
        <f>Исх.данные!$B$19*Персонал!CZ24</f>
        <v>1393.0092394614007</v>
      </c>
      <c r="DJ12" s="96">
        <f>Исх.данные!$B$19*Персонал!DA24</f>
        <v>1393.0092394614007</v>
      </c>
      <c r="DK12" s="96">
        <f>Исх.данные!$B$19*Персонал!DB24</f>
        <v>1393.0092394614007</v>
      </c>
      <c r="DL12" s="96">
        <f>Исх.данные!$B$19*Персонал!DC24</f>
        <v>1393.0092394614007</v>
      </c>
      <c r="DM12" s="96">
        <f>Исх.данные!$B$19*Персонал!DD24</f>
        <v>1393.0092394614007</v>
      </c>
      <c r="DN12" s="96">
        <f>Исх.данные!$B$19*Персонал!DE24</f>
        <v>1393.0092394614007</v>
      </c>
      <c r="DO12" s="96">
        <f>Исх.данные!$B$19*Персонал!DF24</f>
        <v>1393.0092394614007</v>
      </c>
      <c r="DP12" s="96">
        <f>Исх.данные!$B$19*Персонал!DG24</f>
        <v>1393.0092394614007</v>
      </c>
      <c r="DQ12" s="96">
        <f>Исх.данные!$B$19*Персонал!DH24</f>
        <v>1393.0092394614007</v>
      </c>
      <c r="DR12" s="96">
        <f>Исх.данные!$B$19*Персонал!DI24</f>
        <v>1532.3101634075408</v>
      </c>
      <c r="DS12" s="96">
        <f>Исх.данные!$B$19*Персонал!DJ24</f>
        <v>1532.3101634075408</v>
      </c>
      <c r="DT12" s="96">
        <f>Исх.данные!$B$19*Персонал!DK24</f>
        <v>1532.3101634075408</v>
      </c>
      <c r="DU12" s="96">
        <f>Исх.данные!$B$19*Персонал!DL24</f>
        <v>1532.3101634075408</v>
      </c>
      <c r="DV12" s="96">
        <f>Исх.данные!$B$19*Персонал!DM24</f>
        <v>1532.3101634075408</v>
      </c>
      <c r="DW12" s="96">
        <f>Исх.данные!$B$19*Персонал!DN24</f>
        <v>1532.3101634075408</v>
      </c>
      <c r="DX12" s="96">
        <f>Исх.данные!$B$19*Персонал!DO24</f>
        <v>1532.3101634075408</v>
      </c>
      <c r="DY12" s="96">
        <f>Исх.данные!$B$19*Персонал!DP24</f>
        <v>1532.3101634075408</v>
      </c>
      <c r="DZ12" s="96">
        <f>Исх.данные!$B$19*Персонал!DQ24</f>
        <v>1532.3101634075408</v>
      </c>
      <c r="EA12" s="96">
        <f>Исх.данные!$B$19*Персонал!DR24</f>
        <v>1532.3101634075408</v>
      </c>
      <c r="EB12" s="96">
        <f>Исх.данные!$B$19*Персонал!DS24</f>
        <v>1532.3101634075408</v>
      </c>
      <c r="EC12" s="96">
        <f>Исх.данные!$B$19*Персонал!DT24</f>
        <v>1532.3101634075408</v>
      </c>
    </row>
    <row r="13" spans="1:133" s="112" customFormat="1" ht="13.15" customHeight="1">
      <c r="A13" s="122" t="s">
        <v>124</v>
      </c>
      <c r="B13" s="123">
        <f>B9+B10+B11+B12</f>
        <v>0</v>
      </c>
      <c r="C13" s="123">
        <f t="shared" ref="C13:BN13" si="232">C9+C10+C11+C12</f>
        <v>0</v>
      </c>
      <c r="D13" s="123">
        <f t="shared" si="232"/>
        <v>0</v>
      </c>
      <c r="E13" s="123">
        <f t="shared" si="232"/>
        <v>0</v>
      </c>
      <c r="F13" s="123">
        <f t="shared" si="232"/>
        <v>0</v>
      </c>
      <c r="G13" s="123">
        <f t="shared" si="232"/>
        <v>0</v>
      </c>
      <c r="H13" s="123">
        <f t="shared" si="232"/>
        <v>0</v>
      </c>
      <c r="I13" s="123">
        <f t="shared" si="232"/>
        <v>0</v>
      </c>
      <c r="J13" s="123">
        <f t="shared" si="232"/>
        <v>0</v>
      </c>
      <c r="K13" s="123">
        <f t="shared" si="232"/>
        <v>0</v>
      </c>
      <c r="L13" s="123">
        <f t="shared" si="232"/>
        <v>0</v>
      </c>
      <c r="M13" s="123">
        <f t="shared" si="232"/>
        <v>74.125222912499993</v>
      </c>
      <c r="N13" s="123">
        <f t="shared" si="232"/>
        <v>0</v>
      </c>
      <c r="O13" s="123">
        <f t="shared" si="232"/>
        <v>0</v>
      </c>
      <c r="P13" s="123">
        <f t="shared" si="232"/>
        <v>74.125222912499993</v>
      </c>
      <c r="Q13" s="123">
        <f t="shared" si="232"/>
        <v>0</v>
      </c>
      <c r="R13" s="123">
        <f t="shared" si="232"/>
        <v>0</v>
      </c>
      <c r="S13" s="123">
        <f t="shared" si="232"/>
        <v>74.125222912499993</v>
      </c>
      <c r="T13" s="123">
        <f t="shared" si="232"/>
        <v>0</v>
      </c>
      <c r="U13" s="123">
        <f t="shared" si="232"/>
        <v>0</v>
      </c>
      <c r="V13" s="123">
        <f t="shared" si="232"/>
        <v>74.125222912499993</v>
      </c>
      <c r="W13" s="123">
        <f t="shared" si="232"/>
        <v>0</v>
      </c>
      <c r="X13" s="123">
        <f t="shared" si="232"/>
        <v>557.49199999999996</v>
      </c>
      <c r="Y13" s="123">
        <f t="shared" si="232"/>
        <v>631.61722291249998</v>
      </c>
      <c r="Z13" s="123">
        <f t="shared" si="232"/>
        <v>557.49199999999996</v>
      </c>
      <c r="AA13" s="123">
        <f t="shared" si="232"/>
        <v>557.49199999999996</v>
      </c>
      <c r="AB13" s="123">
        <f t="shared" si="232"/>
        <v>631.61722291249998</v>
      </c>
      <c r="AC13" s="123">
        <f t="shared" si="232"/>
        <v>557.49199999999996</v>
      </c>
      <c r="AD13" s="123">
        <f t="shared" si="232"/>
        <v>2449.7054662347209</v>
      </c>
      <c r="AE13" s="123">
        <f t="shared" si="232"/>
        <v>2523.8306891472207</v>
      </c>
      <c r="AF13" s="123">
        <f t="shared" si="232"/>
        <v>2449.7054662347209</v>
      </c>
      <c r="AG13" s="123">
        <f t="shared" si="232"/>
        <v>2449.7054662347209</v>
      </c>
      <c r="AH13" s="123">
        <f t="shared" si="232"/>
        <v>2523.8306891472207</v>
      </c>
      <c r="AI13" s="123">
        <f t="shared" si="232"/>
        <v>2449.7054662347209</v>
      </c>
      <c r="AJ13" s="123">
        <f t="shared" si="232"/>
        <v>2449.7054662347209</v>
      </c>
      <c r="AK13" s="123">
        <f t="shared" si="232"/>
        <v>2681.1726891472208</v>
      </c>
      <c r="AL13" s="123">
        <f t="shared" si="232"/>
        <v>2769.5081372850304</v>
      </c>
      <c r="AM13" s="123">
        <f t="shared" si="232"/>
        <v>2769.5081372850304</v>
      </c>
      <c r="AN13" s="123">
        <f t="shared" si="232"/>
        <v>2843.6333601975302</v>
      </c>
      <c r="AO13" s="123">
        <f t="shared" si="232"/>
        <v>2769.5081372850304</v>
      </c>
      <c r="AP13" s="123">
        <f t="shared" si="232"/>
        <v>2769.5081372850304</v>
      </c>
      <c r="AQ13" s="123">
        <f t="shared" si="232"/>
        <v>2843.6333601975302</v>
      </c>
      <c r="AR13" s="123">
        <f t="shared" si="232"/>
        <v>2769.5081372850304</v>
      </c>
      <c r="AS13" s="123">
        <f t="shared" si="232"/>
        <v>2769.5081372850304</v>
      </c>
      <c r="AT13" s="123">
        <f t="shared" si="232"/>
        <v>2843.6333601975302</v>
      </c>
      <c r="AU13" s="123">
        <f t="shared" si="232"/>
        <v>5991.8450252850298</v>
      </c>
      <c r="AV13" s="123">
        <f t="shared" si="232"/>
        <v>10515.918870618361</v>
      </c>
      <c r="AW13" s="123">
        <f t="shared" si="232"/>
        <v>2843.6333601975302</v>
      </c>
      <c r="AX13" s="123">
        <f t="shared" si="232"/>
        <v>2666.7605602111271</v>
      </c>
      <c r="AY13" s="123">
        <f t="shared" si="232"/>
        <v>2666.7605602111271</v>
      </c>
      <c r="AZ13" s="123">
        <f t="shared" si="232"/>
        <v>2949.9628945969594</v>
      </c>
      <c r="BA13" s="123">
        <f t="shared" si="232"/>
        <v>5162.572305097794</v>
      </c>
      <c r="BB13" s="123">
        <f t="shared" si="232"/>
        <v>4961.9362332777946</v>
      </c>
      <c r="BC13" s="123">
        <f t="shared" si="232"/>
        <v>3997.8434210480705</v>
      </c>
      <c r="BD13" s="123">
        <f t="shared" si="232"/>
        <v>4726.2624854155711</v>
      </c>
      <c r="BE13" s="123">
        <f t="shared" si="232"/>
        <v>6030.3969522455682</v>
      </c>
      <c r="BF13" s="123">
        <f t="shared" si="232"/>
        <v>7609.2927138080704</v>
      </c>
      <c r="BG13" s="123">
        <f t="shared" si="232"/>
        <v>8738.9839218155703</v>
      </c>
      <c r="BH13" s="123">
        <f t="shared" si="232"/>
        <v>10981.018387877795</v>
      </c>
      <c r="BI13" s="123">
        <f t="shared" si="232"/>
        <v>2740.8857831236269</v>
      </c>
      <c r="BJ13" s="123">
        <f t="shared" si="232"/>
        <v>2729.5527716518923</v>
      </c>
      <c r="BK13" s="123">
        <f t="shared" si="232"/>
        <v>2729.5527716518923</v>
      </c>
      <c r="BL13" s="123">
        <f t="shared" si="232"/>
        <v>3205.7068018752602</v>
      </c>
      <c r="BM13" s="123">
        <f t="shared" si="232"/>
        <v>5435.6616802318285</v>
      </c>
      <c r="BN13" s="123">
        <f t="shared" si="232"/>
        <v>5221.6572700772258</v>
      </c>
      <c r="BO13" s="123">
        <f t="shared" ref="BO13:DZ13" si="233">BO9+BO10+BO11+BO12</f>
        <v>6151.8001336081261</v>
      </c>
      <c r="BP13" s="123">
        <f t="shared" si="233"/>
        <v>6933.6925513140286</v>
      </c>
      <c r="BQ13" s="123">
        <f t="shared" si="233"/>
        <v>8324.7212173189237</v>
      </c>
      <c r="BR13" s="123">
        <f t="shared" si="233"/>
        <v>10003.879516390931</v>
      </c>
      <c r="BS13" s="123">
        <f t="shared" si="233"/>
        <v>11213.780754406027</v>
      </c>
      <c r="BT13" s="123">
        <f t="shared" si="233"/>
        <v>11641.789574715229</v>
      </c>
      <c r="BU13" s="123">
        <f t="shared" si="233"/>
        <v>2834.7317762118259</v>
      </c>
      <c r="BV13" s="123">
        <f t="shared" si="233"/>
        <v>2918.5604898602132</v>
      </c>
      <c r="BW13" s="123">
        <f t="shared" si="233"/>
        <v>2918.5604898602132</v>
      </c>
      <c r="BX13" s="123">
        <f t="shared" si="233"/>
        <v>3224.8799448251389</v>
      </c>
      <c r="BY13" s="123">
        <f t="shared" si="233"/>
        <v>5733.6537045898804</v>
      </c>
      <c r="BZ13" s="123">
        <f t="shared" si="233"/>
        <v>5505.5124431416407</v>
      </c>
      <c r="CA13" s="123">
        <f t="shared" si="233"/>
        <v>6492.2027118470905</v>
      </c>
      <c r="CB13" s="123">
        <f t="shared" si="233"/>
        <v>7330.6425347275454</v>
      </c>
      <c r="CC13" s="123">
        <f t="shared" si="233"/>
        <v>8813.5607341410905</v>
      </c>
      <c r="CD13" s="123">
        <f t="shared" si="233"/>
        <v>10598.745417915379</v>
      </c>
      <c r="CE13" s="123">
        <f t="shared" si="233"/>
        <v>11893.467763692302</v>
      </c>
      <c r="CF13" s="123">
        <f t="shared" si="233"/>
        <v>12349.750286588784</v>
      </c>
      <c r="CG13" s="123">
        <f t="shared" si="233"/>
        <v>2992.685712772713</v>
      </c>
      <c r="CH13" s="123">
        <f t="shared" si="233"/>
        <v>3105.7460632948123</v>
      </c>
      <c r="CI13" s="123">
        <f t="shared" si="233"/>
        <v>3105.7460632948123</v>
      </c>
      <c r="CJ13" s="123">
        <f t="shared" si="233"/>
        <v>3179.8712862073121</v>
      </c>
      <c r="CK13" s="123">
        <f t="shared" si="233"/>
        <v>6005.3873616073288</v>
      </c>
      <c r="CL13" s="123">
        <f t="shared" si="233"/>
        <v>5784.5289600573487</v>
      </c>
      <c r="CM13" s="123">
        <f t="shared" si="233"/>
        <v>6831.0063998903897</v>
      </c>
      <c r="CN13" s="123">
        <f t="shared" si="233"/>
        <v>7729.2333938984302</v>
      </c>
      <c r="CO13" s="123">
        <f t="shared" si="233"/>
        <v>9309.3057463943078</v>
      </c>
      <c r="CP13" s="123">
        <f t="shared" si="233"/>
        <v>11206.591376032826</v>
      </c>
      <c r="CQ13" s="123">
        <f t="shared" si="233"/>
        <v>12590.994478501136</v>
      </c>
      <c r="CR13" s="123">
        <f t="shared" si="233"/>
        <v>13077.170586961405</v>
      </c>
      <c r="CS13" s="123">
        <f t="shared" si="233"/>
        <v>3179.8712862073121</v>
      </c>
      <c r="CT13" s="123">
        <f t="shared" si="233"/>
        <v>3279.5467758036748</v>
      </c>
      <c r="CU13" s="123">
        <f t="shared" si="233"/>
        <v>3279.5467758036748</v>
      </c>
      <c r="CV13" s="123">
        <f t="shared" si="233"/>
        <v>3353.671998716175</v>
      </c>
      <c r="CW13" s="123">
        <f t="shared" si="233"/>
        <v>5944.5019304199068</v>
      </c>
      <c r="CX13" s="123">
        <f t="shared" si="233"/>
        <v>6046.0750245180297</v>
      </c>
      <c r="CY13" s="123">
        <f t="shared" si="233"/>
        <v>7155.7537616001773</v>
      </c>
      <c r="CZ13" s="123">
        <f t="shared" si="233"/>
        <v>8117.1820528573262</v>
      </c>
      <c r="DA13" s="123">
        <f t="shared" si="233"/>
        <v>9799.9565133830019</v>
      </c>
      <c r="DB13" s="123">
        <f t="shared" si="233"/>
        <v>11815.744575363591</v>
      </c>
      <c r="DC13" s="123">
        <f t="shared" si="233"/>
        <v>13294.949623705559</v>
      </c>
      <c r="DD13" s="123">
        <f t="shared" si="233"/>
        <v>13812.726380790384</v>
      </c>
      <c r="DE13" s="123">
        <f t="shared" si="233"/>
        <v>3353.671998716175</v>
      </c>
      <c r="DF13" s="123">
        <f t="shared" si="233"/>
        <v>3448.0557854632748</v>
      </c>
      <c r="DG13" s="123">
        <f t="shared" si="233"/>
        <v>3448.0557854632748</v>
      </c>
      <c r="DH13" s="123">
        <f t="shared" si="233"/>
        <v>3522.1810083757746</v>
      </c>
      <c r="DI13" s="123">
        <f t="shared" si="233"/>
        <v>5814.4264156489444</v>
      </c>
      <c r="DJ13" s="123">
        <f t="shared" si="233"/>
        <v>6297.025242887139</v>
      </c>
      <c r="DK13" s="123">
        <f t="shared" si="233"/>
        <v>7473.5028526729402</v>
      </c>
      <c r="DL13" s="123">
        <f t="shared" si="233"/>
        <v>8501.7300166337427</v>
      </c>
      <c r="DM13" s="123">
        <f t="shared" si="233"/>
        <v>10293.052645302854</v>
      </c>
      <c r="DN13" s="123">
        <f t="shared" si="233"/>
        <v>12434.088593602792</v>
      </c>
      <c r="DO13" s="123">
        <f t="shared" si="233"/>
        <v>14013.491951000251</v>
      </c>
      <c r="DP13" s="123">
        <f t="shared" si="233"/>
        <v>14564.668144436899</v>
      </c>
      <c r="DQ13" s="123">
        <f t="shared" si="233"/>
        <v>3522.1810083757746</v>
      </c>
      <c r="DR13" s="123">
        <f t="shared" si="233"/>
        <v>3605.7908962015808</v>
      </c>
      <c r="DS13" s="123">
        <f t="shared" si="233"/>
        <v>3605.7908962015808</v>
      </c>
      <c r="DT13" s="123">
        <f t="shared" si="233"/>
        <v>3679.9161191140811</v>
      </c>
      <c r="DU13" s="123">
        <f t="shared" si="233"/>
        <v>5600.8477445728004</v>
      </c>
      <c r="DV13" s="123">
        <f t="shared" si="233"/>
        <v>6530.512200247591</v>
      </c>
      <c r="DW13" s="123">
        <f t="shared" si="233"/>
        <v>7777.5792622820827</v>
      </c>
      <c r="DX13" s="123">
        <f t="shared" si="233"/>
        <v>8876.3958784915776</v>
      </c>
      <c r="DY13" s="123">
        <f t="shared" si="233"/>
        <v>10782.426367064811</v>
      </c>
      <c r="DZ13" s="123">
        <f t="shared" si="233"/>
        <v>13055.817538331052</v>
      </c>
      <c r="EA13" s="123">
        <f t="shared" ref="EA13:EC13" si="234">EA9+EA10+EA11+EA12</f>
        <v>14741.105074101539</v>
      </c>
      <c r="EB13" s="123">
        <f t="shared" si="234"/>
        <v>15327.575993662533</v>
      </c>
      <c r="EC13" s="123">
        <f t="shared" si="234"/>
        <v>3679.9161191140811</v>
      </c>
    </row>
    <row r="14" spans="1:133" s="88" customFormat="1" ht="13.15" customHeight="1">
      <c r="A14" s="113" t="s">
        <v>135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</row>
    <row r="15" spans="1:133" s="88" customFormat="1" ht="13.15" customHeight="1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</row>
    <row r="16" spans="1:133" s="86" customFormat="1" ht="13.1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6"/>
      <c r="AG16" s="116"/>
      <c r="AH16" s="116"/>
      <c r="AI16" s="116"/>
      <c r="AJ16" s="116"/>
      <c r="AK16" s="116"/>
    </row>
    <row r="17" spans="1:231" s="86" customFormat="1" ht="13.15" customHeight="1">
      <c r="A17" s="90" t="s">
        <v>0</v>
      </c>
      <c r="B17" s="388">
        <v>2022</v>
      </c>
      <c r="C17" s="124">
        <v>2023</v>
      </c>
      <c r="D17" s="124">
        <v>2024</v>
      </c>
      <c r="E17" s="124">
        <v>2025</v>
      </c>
      <c r="F17" s="124">
        <v>2026</v>
      </c>
      <c r="G17" s="124">
        <v>2027</v>
      </c>
      <c r="H17" s="124">
        <v>2028</v>
      </c>
      <c r="I17" s="124">
        <v>2029</v>
      </c>
      <c r="J17" s="124">
        <v>2030</v>
      </c>
      <c r="K17" s="124">
        <v>2031</v>
      </c>
      <c r="L17" s="124">
        <v>2032</v>
      </c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</row>
    <row r="18" spans="1:231" s="346" customFormat="1" ht="13.15" customHeight="1">
      <c r="A18" s="344" t="s">
        <v>148</v>
      </c>
      <c r="B18" s="345">
        <f>SUM(B9:M9)</f>
        <v>0</v>
      </c>
      <c r="C18" s="345">
        <f>SUM(N9:Y9)</f>
        <v>0</v>
      </c>
      <c r="D18" s="345">
        <f>SUM(Z9:AK9)</f>
        <v>0</v>
      </c>
      <c r="E18" s="345">
        <f>SUM(AL9:AW9)</f>
        <v>10968.74762133333</v>
      </c>
      <c r="F18" s="345">
        <f>SUM(AX9:BI9)</f>
        <v>30935.048604545551</v>
      </c>
      <c r="G18" s="345">
        <f>SUM(BJ9:BU9)</f>
        <v>43375.392667980479</v>
      </c>
      <c r="H18" s="345">
        <f>SUM(BV9:CG9)</f>
        <v>45452.995463989435</v>
      </c>
      <c r="I18" s="345">
        <f>SUM(CH9:CS9)</f>
        <v>47539.999351159669</v>
      </c>
      <c r="J18" s="345">
        <f>SUM(CT9:DE9)</f>
        <v>49602.265210383572</v>
      </c>
      <c r="K18" s="345">
        <f>SUM(DF9:DQ9)</f>
        <v>51659.289132654361</v>
      </c>
      <c r="L18" s="345">
        <f>SUM(DR9:EC9)</f>
        <v>53697.682443316342</v>
      </c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</row>
    <row r="19" spans="1:231" s="346" customFormat="1" ht="12.75" customHeight="1">
      <c r="A19" s="344" t="s">
        <v>209</v>
      </c>
      <c r="B19" s="345">
        <f>SUM(B10:M10)</f>
        <v>74.125222912499993</v>
      </c>
      <c r="C19" s="345">
        <f>SUM(N10:Y10)</f>
        <v>296.50089164999997</v>
      </c>
      <c r="D19" s="345">
        <f>SUM(Z10:AK10)</f>
        <v>296.50089164999997</v>
      </c>
      <c r="E19" s="345">
        <f>SUM(AL10:AW10)</f>
        <v>296.50089164999997</v>
      </c>
      <c r="F19" s="345">
        <f>SUM(AX10:BI10)</f>
        <v>296.50089164999997</v>
      </c>
      <c r="G19" s="345">
        <f>SUM(BJ10:BU10)</f>
        <v>296.50089164999997</v>
      </c>
      <c r="H19" s="345">
        <f>SUM(BV10:CG10)</f>
        <v>296.50089164999997</v>
      </c>
      <c r="I19" s="345">
        <f>SUM(CH10:CS10)</f>
        <v>296.50089164999997</v>
      </c>
      <c r="J19" s="345">
        <f>SUM(CT10:DE10)</f>
        <v>296.50089164999997</v>
      </c>
      <c r="K19" s="345">
        <f>SUM(DF10:DQ10)</f>
        <v>296.50089164999997</v>
      </c>
      <c r="L19" s="345">
        <f>SUM(DR10:EC10)</f>
        <v>296.50089164999997</v>
      </c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</row>
    <row r="20" spans="1:231" s="341" customFormat="1" ht="13.15" customHeight="1">
      <c r="A20" s="344" t="s">
        <v>32</v>
      </c>
      <c r="B20" s="345">
        <f>ОПиУ!B14</f>
        <v>0</v>
      </c>
      <c r="C20" s="345">
        <f>ОПиУ!C14</f>
        <v>0</v>
      </c>
      <c r="D20" s="345">
        <f>ОПиУ!D14</f>
        <v>15137.707729877766</v>
      </c>
      <c r="E20" s="345">
        <f>ОПиУ!E14</f>
        <v>23798.288847420365</v>
      </c>
      <c r="F20" s="345">
        <f>ОПиУ!F14</f>
        <v>21621.737042533521</v>
      </c>
      <c r="G20" s="345">
        <f>ОПиУ!G14</f>
        <v>21337.304611822707</v>
      </c>
      <c r="H20" s="345">
        <f>ОПиУ!H14</f>
        <v>22463.664365522553</v>
      </c>
      <c r="I20" s="345">
        <f>ОПиУ!I14</f>
        <v>23453.985095457741</v>
      </c>
      <c r="J20" s="345">
        <f>ОПиУ!J14</f>
        <v>24158.096879156092</v>
      </c>
      <c r="K20" s="345">
        <f>ОПиУ!K14</f>
        <v>24660.558552022489</v>
      </c>
      <c r="L20" s="345">
        <f>ОПиУ!L14</f>
        <v>24881.768793528485</v>
      </c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</row>
    <row r="21" spans="1:231" s="346" customFormat="1" ht="13.15" customHeight="1">
      <c r="A21" s="344" t="s">
        <v>172</v>
      </c>
      <c r="B21" s="345">
        <f>SUM(B12:M12)</f>
        <v>0</v>
      </c>
      <c r="C21" s="345">
        <f>SUM(N12:Y12)</f>
        <v>1114.9839999999999</v>
      </c>
      <c r="D21" s="345">
        <f>SUM(Z12:AK12)</f>
        <v>6847.246000000001</v>
      </c>
      <c r="E21" s="345">
        <f>SUM(AL12:AW12)</f>
        <v>9435.8088000000007</v>
      </c>
      <c r="F21" s="345">
        <f>SUM(AX12:BI12)</f>
        <v>10379.389680000006</v>
      </c>
      <c r="G21" s="345">
        <f>SUM(BJ12:BU12)</f>
        <v>11417.328648000001</v>
      </c>
      <c r="H21" s="345">
        <f>SUM(BV12:CG12)</f>
        <v>12559.061512800001</v>
      </c>
      <c r="I21" s="345">
        <f>SUM(CH12:CS12)</f>
        <v>13814.967664080008</v>
      </c>
      <c r="J21" s="345">
        <f>SUM(CT12:DE12)</f>
        <v>15196.464430488011</v>
      </c>
      <c r="K21" s="345">
        <f>SUM(DF12:DQ12)</f>
        <v>16716.110873536807</v>
      </c>
      <c r="L21" s="345">
        <f>SUM(DR12:EC12)</f>
        <v>18387.721960890489</v>
      </c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</row>
    <row r="22" spans="1:231" s="117" customFormat="1" ht="13.15" customHeight="1">
      <c r="A22" s="125" t="s">
        <v>124</v>
      </c>
      <c r="B22" s="74">
        <f>SUM(B18:B21)</f>
        <v>74.125222912499993</v>
      </c>
      <c r="C22" s="74">
        <f>SUM(C18:C21)</f>
        <v>1411.48489165</v>
      </c>
      <c r="D22" s="74">
        <f>SUM(D18:D21)</f>
        <v>22281.454621527766</v>
      </c>
      <c r="E22" s="74">
        <f>SUM(E18:E21)</f>
        <v>44499.346160403693</v>
      </c>
      <c r="F22" s="74">
        <f t="shared" ref="F22:I22" si="235">SUM(F18:F21)</f>
        <v>63232.676218729081</v>
      </c>
      <c r="G22" s="74">
        <f t="shared" si="235"/>
        <v>76426.526819453182</v>
      </c>
      <c r="H22" s="74">
        <f t="shared" si="235"/>
        <v>80772.222233961991</v>
      </c>
      <c r="I22" s="74">
        <f t="shared" si="235"/>
        <v>85105.453002347407</v>
      </c>
      <c r="J22" s="74">
        <f t="shared" ref="J22:L22" si="236">SUM(J18:J21)</f>
        <v>89253.327411677674</v>
      </c>
      <c r="K22" s="74">
        <f t="shared" si="236"/>
        <v>93332.459449863658</v>
      </c>
      <c r="L22" s="74">
        <f t="shared" si="236"/>
        <v>97263.674089385313</v>
      </c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</row>
    <row r="23" spans="1:231" s="119" customFormat="1" ht="12.7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</row>
    <row r="24" spans="1:231" s="118" customFormat="1" ht="12.75"/>
    <row r="25" spans="1:231" s="118" customFormat="1" ht="12.75"/>
    <row r="26" spans="1:231" s="118" customFormat="1" ht="12.75"/>
    <row r="27" spans="1:231" s="118" customFormat="1" ht="12.75"/>
    <row r="28" spans="1:231" s="118" customFormat="1" ht="12.75"/>
    <row r="29" spans="1:231" s="118" customFormat="1" ht="12.75"/>
  </sheetData>
  <mergeCells count="11">
    <mergeCell ref="B2:M2"/>
    <mergeCell ref="N2:Y2"/>
    <mergeCell ref="DF2:DQ2"/>
    <mergeCell ref="DR2:EC2"/>
    <mergeCell ref="BV2:CG2"/>
    <mergeCell ref="CH2:CS2"/>
    <mergeCell ref="BJ2:BU2"/>
    <mergeCell ref="AL2:AW2"/>
    <mergeCell ref="Z2:AK2"/>
    <mergeCell ref="AX2:BI2"/>
    <mergeCell ref="CT2:DE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5">
    <tabColor theme="4" tint="0.39997558519241921"/>
  </sheetPr>
  <dimension ref="A1:ED87"/>
  <sheetViews>
    <sheetView topLeftCell="B1" zoomScale="90" zoomScaleNormal="90" workbookViewId="0">
      <pane xSplit="1" ySplit="3" topLeftCell="DO4" activePane="bottomRight" state="frozen"/>
      <selection activeCell="B1" sqref="B1"/>
      <selection pane="topRight" activeCell="C1" sqref="C1"/>
      <selection pane="bottomLeft" activeCell="B4" sqref="B4"/>
      <selection pane="bottomRight" activeCell="DR43" sqref="DR43"/>
    </sheetView>
  </sheetViews>
  <sheetFormatPr defaultColWidth="9.140625" defaultRowHeight="11.25"/>
  <cols>
    <col min="1" max="1" width="4.5703125" style="18" hidden="1" customWidth="1"/>
    <col min="2" max="2" width="43.7109375" style="18" customWidth="1"/>
    <col min="3" max="4" width="8.85546875" style="18" customWidth="1"/>
    <col min="5" max="5" width="8.7109375" style="18" customWidth="1"/>
    <col min="6" max="14" width="9.85546875" style="18" customWidth="1"/>
    <col min="15" max="19" width="8.28515625" style="18" customWidth="1"/>
    <col min="20" max="20" width="7.85546875" style="18" customWidth="1"/>
    <col min="21" max="26" width="8.28515625" style="18" customWidth="1"/>
    <col min="27" max="27" width="9.28515625" style="18" customWidth="1"/>
    <col min="28" max="28" width="9.140625" style="18" customWidth="1"/>
    <col min="29" max="29" width="9.7109375" style="18" customWidth="1"/>
    <col min="30" max="30" width="10.5703125" style="18" customWidth="1"/>
    <col min="31" max="31" width="11" style="18" customWidth="1"/>
    <col min="32" max="134" width="11.5703125" style="18" customWidth="1"/>
    <col min="135" max="16384" width="9.140625" style="18"/>
  </cols>
  <sheetData>
    <row r="1" spans="2:134" s="62" customFormat="1" ht="18" customHeight="1">
      <c r="B1" s="56" t="s">
        <v>58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P1" s="133"/>
    </row>
    <row r="2" spans="2:134" s="62" customFormat="1" ht="12.6" customHeight="1">
      <c r="B2" s="62" t="s">
        <v>154</v>
      </c>
      <c r="C2" s="448">
        <v>2022</v>
      </c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50"/>
      <c r="O2" s="448">
        <v>2023</v>
      </c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50"/>
      <c r="AA2" s="448">
        <v>2024</v>
      </c>
      <c r="AB2" s="449"/>
      <c r="AC2" s="449"/>
      <c r="AD2" s="449"/>
      <c r="AE2" s="449"/>
      <c r="AF2" s="449"/>
      <c r="AG2" s="449"/>
      <c r="AH2" s="449"/>
      <c r="AI2" s="449"/>
      <c r="AJ2" s="449"/>
      <c r="AK2" s="449"/>
      <c r="AL2" s="450"/>
      <c r="AM2" s="448">
        <v>2025</v>
      </c>
      <c r="AN2" s="449"/>
      <c r="AO2" s="449"/>
      <c r="AP2" s="449"/>
      <c r="AQ2" s="449"/>
      <c r="AR2" s="449"/>
      <c r="AS2" s="449"/>
      <c r="AT2" s="449"/>
      <c r="AU2" s="449"/>
      <c r="AV2" s="449"/>
      <c r="AW2" s="449"/>
      <c r="AX2" s="450"/>
      <c r="AY2" s="448">
        <v>2026</v>
      </c>
      <c r="AZ2" s="449"/>
      <c r="BA2" s="449"/>
      <c r="BB2" s="449"/>
      <c r="BC2" s="449"/>
      <c r="BD2" s="449"/>
      <c r="BE2" s="449"/>
      <c r="BF2" s="449"/>
      <c r="BG2" s="449"/>
      <c r="BH2" s="449"/>
      <c r="BI2" s="449"/>
      <c r="BJ2" s="450"/>
      <c r="BK2" s="448">
        <v>2027</v>
      </c>
      <c r="BL2" s="449"/>
      <c r="BM2" s="449"/>
      <c r="BN2" s="449"/>
      <c r="BO2" s="449"/>
      <c r="BP2" s="449"/>
      <c r="BQ2" s="449"/>
      <c r="BR2" s="449"/>
      <c r="BS2" s="449"/>
      <c r="BT2" s="449"/>
      <c r="BU2" s="449"/>
      <c r="BV2" s="450"/>
      <c r="BW2" s="448">
        <v>2028</v>
      </c>
      <c r="BX2" s="449"/>
      <c r="BY2" s="449"/>
      <c r="BZ2" s="449"/>
      <c r="CA2" s="449"/>
      <c r="CB2" s="449"/>
      <c r="CC2" s="449"/>
      <c r="CD2" s="449"/>
      <c r="CE2" s="449"/>
      <c r="CF2" s="449"/>
      <c r="CG2" s="449"/>
      <c r="CH2" s="450"/>
      <c r="CI2" s="448">
        <v>2029</v>
      </c>
      <c r="CJ2" s="449"/>
      <c r="CK2" s="449"/>
      <c r="CL2" s="449"/>
      <c r="CM2" s="449"/>
      <c r="CN2" s="449"/>
      <c r="CO2" s="449"/>
      <c r="CP2" s="449"/>
      <c r="CQ2" s="449"/>
      <c r="CR2" s="449"/>
      <c r="CS2" s="449"/>
      <c r="CT2" s="450"/>
      <c r="CU2" s="448">
        <v>2030</v>
      </c>
      <c r="CV2" s="449"/>
      <c r="CW2" s="449"/>
      <c r="CX2" s="449"/>
      <c r="CY2" s="449"/>
      <c r="CZ2" s="449"/>
      <c r="DA2" s="449"/>
      <c r="DB2" s="449"/>
      <c r="DC2" s="449"/>
      <c r="DD2" s="449"/>
      <c r="DE2" s="449"/>
      <c r="DF2" s="450"/>
      <c r="DG2" s="448">
        <v>2031</v>
      </c>
      <c r="DH2" s="449"/>
      <c r="DI2" s="449"/>
      <c r="DJ2" s="449"/>
      <c r="DK2" s="449"/>
      <c r="DL2" s="449"/>
      <c r="DM2" s="449"/>
      <c r="DN2" s="449"/>
      <c r="DO2" s="449"/>
      <c r="DP2" s="449"/>
      <c r="DQ2" s="449"/>
      <c r="DR2" s="450"/>
      <c r="DS2" s="448">
        <v>2032</v>
      </c>
      <c r="DT2" s="449"/>
      <c r="DU2" s="449"/>
      <c r="DV2" s="449"/>
      <c r="DW2" s="449"/>
      <c r="DX2" s="449"/>
      <c r="DY2" s="449"/>
      <c r="DZ2" s="449"/>
      <c r="EA2" s="449"/>
      <c r="EB2" s="449"/>
      <c r="EC2" s="449"/>
      <c r="ED2" s="450"/>
    </row>
    <row r="3" spans="2:134" s="97" customFormat="1" ht="12.6" customHeight="1">
      <c r="B3" s="90"/>
      <c r="C3" s="87">
        <v>44592</v>
      </c>
      <c r="D3" s="87">
        <v>44620</v>
      </c>
      <c r="E3" s="87">
        <v>44651</v>
      </c>
      <c r="F3" s="87">
        <v>44681</v>
      </c>
      <c r="G3" s="87">
        <v>44712</v>
      </c>
      <c r="H3" s="87">
        <v>44742</v>
      </c>
      <c r="I3" s="87">
        <v>44773</v>
      </c>
      <c r="J3" s="87">
        <v>44804</v>
      </c>
      <c r="K3" s="87">
        <v>44834</v>
      </c>
      <c r="L3" s="87">
        <v>44865</v>
      </c>
      <c r="M3" s="87">
        <v>44895</v>
      </c>
      <c r="N3" s="87">
        <v>44926</v>
      </c>
      <c r="O3" s="87">
        <v>44957</v>
      </c>
      <c r="P3" s="87">
        <v>44985</v>
      </c>
      <c r="Q3" s="87">
        <v>45016</v>
      </c>
      <c r="R3" s="87">
        <v>45046</v>
      </c>
      <c r="S3" s="87">
        <v>45077</v>
      </c>
      <c r="T3" s="87">
        <v>45107</v>
      </c>
      <c r="U3" s="87">
        <v>45138</v>
      </c>
      <c r="V3" s="87">
        <v>45169</v>
      </c>
      <c r="W3" s="87">
        <v>45199</v>
      </c>
      <c r="X3" s="87">
        <v>45230</v>
      </c>
      <c r="Y3" s="87">
        <v>45260</v>
      </c>
      <c r="Z3" s="87">
        <v>45291</v>
      </c>
      <c r="AA3" s="87">
        <v>45322</v>
      </c>
      <c r="AB3" s="87">
        <v>45351</v>
      </c>
      <c r="AC3" s="87">
        <v>45382</v>
      </c>
      <c r="AD3" s="87">
        <v>45412</v>
      </c>
      <c r="AE3" s="87">
        <v>45443</v>
      </c>
      <c r="AF3" s="87">
        <v>45473</v>
      </c>
      <c r="AG3" s="87">
        <v>45504</v>
      </c>
      <c r="AH3" s="87">
        <v>45535</v>
      </c>
      <c r="AI3" s="87">
        <v>45565</v>
      </c>
      <c r="AJ3" s="87">
        <v>45596</v>
      </c>
      <c r="AK3" s="87">
        <v>45626</v>
      </c>
      <c r="AL3" s="87">
        <v>45657</v>
      </c>
      <c r="AM3" s="87">
        <v>45688</v>
      </c>
      <c r="AN3" s="87">
        <v>45716</v>
      </c>
      <c r="AO3" s="87">
        <v>45747</v>
      </c>
      <c r="AP3" s="87">
        <v>45777</v>
      </c>
      <c r="AQ3" s="87">
        <v>45808</v>
      </c>
      <c r="AR3" s="87">
        <v>45838</v>
      </c>
      <c r="AS3" s="87">
        <v>45869</v>
      </c>
      <c r="AT3" s="87">
        <v>45900</v>
      </c>
      <c r="AU3" s="87">
        <v>45930</v>
      </c>
      <c r="AV3" s="87">
        <v>45961</v>
      </c>
      <c r="AW3" s="87">
        <v>45991</v>
      </c>
      <c r="AX3" s="87">
        <v>46022</v>
      </c>
      <c r="AY3" s="87">
        <v>46053</v>
      </c>
      <c r="AZ3" s="87">
        <v>46081</v>
      </c>
      <c r="BA3" s="87">
        <v>46112</v>
      </c>
      <c r="BB3" s="87">
        <v>46142</v>
      </c>
      <c r="BC3" s="87">
        <v>46173</v>
      </c>
      <c r="BD3" s="87">
        <v>46203</v>
      </c>
      <c r="BE3" s="87">
        <v>46234</v>
      </c>
      <c r="BF3" s="87">
        <v>46265</v>
      </c>
      <c r="BG3" s="87">
        <v>46295</v>
      </c>
      <c r="BH3" s="87">
        <v>46326</v>
      </c>
      <c r="BI3" s="87">
        <v>46356</v>
      </c>
      <c r="BJ3" s="87">
        <v>46387</v>
      </c>
      <c r="BK3" s="87">
        <v>46418</v>
      </c>
      <c r="BL3" s="87">
        <v>46446</v>
      </c>
      <c r="BM3" s="87">
        <v>46477</v>
      </c>
      <c r="BN3" s="87">
        <v>46507</v>
      </c>
      <c r="BO3" s="87">
        <v>46538</v>
      </c>
      <c r="BP3" s="87">
        <v>46568</v>
      </c>
      <c r="BQ3" s="87">
        <v>46599</v>
      </c>
      <c r="BR3" s="87">
        <v>46630</v>
      </c>
      <c r="BS3" s="87">
        <v>46660</v>
      </c>
      <c r="BT3" s="87">
        <v>46691</v>
      </c>
      <c r="BU3" s="87">
        <v>46721</v>
      </c>
      <c r="BV3" s="87">
        <v>46752</v>
      </c>
      <c r="BW3" s="87">
        <v>46783</v>
      </c>
      <c r="BX3" s="87">
        <v>46812</v>
      </c>
      <c r="BY3" s="87">
        <v>46843</v>
      </c>
      <c r="BZ3" s="87">
        <v>46873</v>
      </c>
      <c r="CA3" s="87">
        <v>46904</v>
      </c>
      <c r="CB3" s="87">
        <v>46934</v>
      </c>
      <c r="CC3" s="87">
        <v>46965</v>
      </c>
      <c r="CD3" s="87">
        <v>46996</v>
      </c>
      <c r="CE3" s="87">
        <v>47026</v>
      </c>
      <c r="CF3" s="87">
        <v>47057</v>
      </c>
      <c r="CG3" s="87">
        <v>47087</v>
      </c>
      <c r="CH3" s="87">
        <v>47118</v>
      </c>
      <c r="CI3" s="87">
        <v>47149</v>
      </c>
      <c r="CJ3" s="87">
        <v>47177</v>
      </c>
      <c r="CK3" s="87">
        <v>47208</v>
      </c>
      <c r="CL3" s="87">
        <v>47238</v>
      </c>
      <c r="CM3" s="87">
        <v>47269</v>
      </c>
      <c r="CN3" s="87">
        <v>47299</v>
      </c>
      <c r="CO3" s="87">
        <v>47330</v>
      </c>
      <c r="CP3" s="87">
        <v>47361</v>
      </c>
      <c r="CQ3" s="87">
        <v>47391</v>
      </c>
      <c r="CR3" s="87">
        <v>47422</v>
      </c>
      <c r="CS3" s="87">
        <v>47452</v>
      </c>
      <c r="CT3" s="87">
        <v>47483</v>
      </c>
      <c r="CU3" s="87">
        <v>47514</v>
      </c>
      <c r="CV3" s="87">
        <v>47542</v>
      </c>
      <c r="CW3" s="87">
        <v>47573</v>
      </c>
      <c r="CX3" s="87">
        <v>47603</v>
      </c>
      <c r="CY3" s="87">
        <v>47634</v>
      </c>
      <c r="CZ3" s="87">
        <v>47664</v>
      </c>
      <c r="DA3" s="87">
        <v>47695</v>
      </c>
      <c r="DB3" s="87">
        <v>47726</v>
      </c>
      <c r="DC3" s="87">
        <v>47756</v>
      </c>
      <c r="DD3" s="87">
        <v>47787</v>
      </c>
      <c r="DE3" s="87">
        <v>47817</v>
      </c>
      <c r="DF3" s="87">
        <v>47848</v>
      </c>
      <c r="DG3" s="87">
        <v>47879</v>
      </c>
      <c r="DH3" s="87">
        <v>47907</v>
      </c>
      <c r="DI3" s="87">
        <v>47938</v>
      </c>
      <c r="DJ3" s="87">
        <v>47968</v>
      </c>
      <c r="DK3" s="87">
        <v>47999</v>
      </c>
      <c r="DL3" s="87">
        <v>48029</v>
      </c>
      <c r="DM3" s="87">
        <v>48060</v>
      </c>
      <c r="DN3" s="87">
        <v>48091</v>
      </c>
      <c r="DO3" s="87">
        <v>48121</v>
      </c>
      <c r="DP3" s="87">
        <v>48152</v>
      </c>
      <c r="DQ3" s="87">
        <v>48182</v>
      </c>
      <c r="DR3" s="87">
        <v>48213</v>
      </c>
      <c r="DS3" s="87">
        <v>48244</v>
      </c>
      <c r="DT3" s="87">
        <v>48273</v>
      </c>
      <c r="DU3" s="87">
        <v>48304</v>
      </c>
      <c r="DV3" s="87">
        <v>48334</v>
      </c>
      <c r="DW3" s="87">
        <v>48365</v>
      </c>
      <c r="DX3" s="87">
        <v>48395</v>
      </c>
      <c r="DY3" s="87">
        <v>48426</v>
      </c>
      <c r="DZ3" s="87">
        <v>48457</v>
      </c>
      <c r="EA3" s="87">
        <v>48487</v>
      </c>
      <c r="EB3" s="87">
        <v>48518</v>
      </c>
      <c r="EC3" s="87">
        <v>48548</v>
      </c>
      <c r="ED3" s="87">
        <v>48579</v>
      </c>
    </row>
    <row r="4" spans="2:134" s="60" customFormat="1" ht="12.6" customHeight="1">
      <c r="B4" s="225" t="s">
        <v>50</v>
      </c>
      <c r="C4" s="226">
        <f t="shared" ref="C4:U4" si="0">-C5</f>
        <v>0</v>
      </c>
      <c r="D4" s="226">
        <f t="shared" si="0"/>
        <v>0</v>
      </c>
      <c r="E4" s="226">
        <f t="shared" si="0"/>
        <v>0</v>
      </c>
      <c r="F4" s="226">
        <f t="shared" si="0"/>
        <v>0</v>
      </c>
      <c r="G4" s="226">
        <f t="shared" si="0"/>
        <v>-20.399999999999999</v>
      </c>
      <c r="H4" s="226">
        <f t="shared" si="0"/>
        <v>0</v>
      </c>
      <c r="I4" s="226">
        <f t="shared" si="0"/>
        <v>0</v>
      </c>
      <c r="J4" s="226">
        <f t="shared" si="0"/>
        <v>0</v>
      </c>
      <c r="K4" s="226">
        <f t="shared" si="0"/>
        <v>0</v>
      </c>
      <c r="L4" s="226">
        <f t="shared" si="0"/>
        <v>-3603.1122600000003</v>
      </c>
      <c r="M4" s="226">
        <f t="shared" si="0"/>
        <v>0</v>
      </c>
      <c r="N4" s="226">
        <f t="shared" si="0"/>
        <v>-1032.24</v>
      </c>
      <c r="O4" s="226">
        <f t="shared" si="0"/>
        <v>-27024.328799999999</v>
      </c>
      <c r="P4" s="226">
        <f t="shared" si="0"/>
        <v>-16125.62982</v>
      </c>
      <c r="Q4" s="226">
        <f t="shared" si="0"/>
        <v>-403.18559999999997</v>
      </c>
      <c r="R4" s="226">
        <f t="shared" si="0"/>
        <v>-46194.239399999999</v>
      </c>
      <c r="S4" s="226">
        <f t="shared" si="0"/>
        <v>-7721.1959999999999</v>
      </c>
      <c r="T4" s="226">
        <f t="shared" si="0"/>
        <v>-648.26099999999997</v>
      </c>
      <c r="U4" s="226">
        <f t="shared" si="0"/>
        <v>-581.60400000000004</v>
      </c>
      <c r="V4" s="226">
        <f>-V5</f>
        <v>-48.245999999999995</v>
      </c>
      <c r="W4" s="226">
        <f t="shared" ref="W4:Z4" si="1">-W5</f>
        <v>-15200.613240000001</v>
      </c>
      <c r="X4" s="226">
        <f t="shared" si="1"/>
        <v>-53285.950559999997</v>
      </c>
      <c r="Y4" s="226">
        <f t="shared" si="1"/>
        <v>-1584.57</v>
      </c>
      <c r="Z4" s="226">
        <f t="shared" si="1"/>
        <v>-747.4559999999999</v>
      </c>
      <c r="AA4" s="226">
        <f>-AA5</f>
        <v>0</v>
      </c>
      <c r="AB4" s="226">
        <f t="shared" ref="AB4:BO4" si="2">-AB5</f>
        <v>0</v>
      </c>
      <c r="AC4" s="226">
        <f t="shared" si="2"/>
        <v>-25853.7156</v>
      </c>
      <c r="AD4" s="226">
        <f t="shared" si="2"/>
        <v>0</v>
      </c>
      <c r="AE4" s="226">
        <f t="shared" si="2"/>
        <v>0</v>
      </c>
      <c r="AF4" s="226">
        <f t="shared" si="2"/>
        <v>-9310.3019944000062</v>
      </c>
      <c r="AG4" s="226">
        <f t="shared" si="2"/>
        <v>-9310.3019944000062</v>
      </c>
      <c r="AH4" s="226">
        <f t="shared" si="2"/>
        <v>-9310.3019944000062</v>
      </c>
      <c r="AI4" s="226">
        <f t="shared" si="2"/>
        <v>-9310.3019944000062</v>
      </c>
      <c r="AJ4" s="226">
        <f t="shared" si="2"/>
        <v>-9310.3019944000062</v>
      </c>
      <c r="AK4" s="226">
        <f t="shared" si="2"/>
        <v>0</v>
      </c>
      <c r="AL4" s="226">
        <f t="shared" si="2"/>
        <v>0</v>
      </c>
      <c r="AM4" s="226">
        <f t="shared" si="2"/>
        <v>0</v>
      </c>
      <c r="AN4" s="226">
        <f t="shared" si="2"/>
        <v>0</v>
      </c>
      <c r="AO4" s="226">
        <f t="shared" si="2"/>
        <v>0</v>
      </c>
      <c r="AP4" s="226">
        <f t="shared" si="2"/>
        <v>0</v>
      </c>
      <c r="AQ4" s="226">
        <f t="shared" si="2"/>
        <v>0</v>
      </c>
      <c r="AR4" s="226">
        <f t="shared" si="2"/>
        <v>-10241.332193839991</v>
      </c>
      <c r="AS4" s="226">
        <f t="shared" si="2"/>
        <v>-10241.332193839991</v>
      </c>
      <c r="AT4" s="226">
        <f t="shared" si="2"/>
        <v>-10241.332193839991</v>
      </c>
      <c r="AU4" s="226">
        <f t="shared" si="2"/>
        <v>-10241.332193839991</v>
      </c>
      <c r="AV4" s="226">
        <f t="shared" si="2"/>
        <v>-10241.332193839991</v>
      </c>
      <c r="AW4" s="226">
        <f t="shared" si="2"/>
        <v>0</v>
      </c>
      <c r="AX4" s="226">
        <f t="shared" si="2"/>
        <v>0</v>
      </c>
      <c r="AY4" s="226">
        <f t="shared" si="2"/>
        <v>0</v>
      </c>
      <c r="AZ4" s="226">
        <f t="shared" si="2"/>
        <v>0</v>
      </c>
      <c r="BA4" s="226">
        <f t="shared" si="2"/>
        <v>0</v>
      </c>
      <c r="BB4" s="226">
        <f t="shared" si="2"/>
        <v>0</v>
      </c>
      <c r="BC4" s="226">
        <f t="shared" si="2"/>
        <v>0</v>
      </c>
      <c r="BD4" s="226">
        <f t="shared" si="2"/>
        <v>-11265.465413224005</v>
      </c>
      <c r="BE4" s="226">
        <f t="shared" si="2"/>
        <v>-11265.465413224005</v>
      </c>
      <c r="BF4" s="226">
        <f t="shared" si="2"/>
        <v>-11265.465413224005</v>
      </c>
      <c r="BG4" s="226">
        <f t="shared" si="2"/>
        <v>-11265.465413224005</v>
      </c>
      <c r="BH4" s="226">
        <f t="shared" si="2"/>
        <v>-11265.465413224005</v>
      </c>
      <c r="BI4" s="226">
        <f t="shared" si="2"/>
        <v>0</v>
      </c>
      <c r="BJ4" s="226">
        <f t="shared" si="2"/>
        <v>0</v>
      </c>
      <c r="BK4" s="226">
        <f t="shared" si="2"/>
        <v>0</v>
      </c>
      <c r="BL4" s="226">
        <f t="shared" si="2"/>
        <v>0</v>
      </c>
      <c r="BM4" s="226">
        <f t="shared" si="2"/>
        <v>0</v>
      </c>
      <c r="BN4" s="226">
        <f t="shared" si="2"/>
        <v>0</v>
      </c>
      <c r="BO4" s="226">
        <f t="shared" si="2"/>
        <v>0</v>
      </c>
      <c r="BP4" s="226">
        <f t="shared" ref="BP4:EA4" si="3">-BP5</f>
        <v>0</v>
      </c>
      <c r="BQ4" s="226">
        <f t="shared" si="3"/>
        <v>0</v>
      </c>
      <c r="BR4" s="226">
        <f t="shared" si="3"/>
        <v>0</v>
      </c>
      <c r="BS4" s="226">
        <f t="shared" si="3"/>
        <v>0</v>
      </c>
      <c r="BT4" s="226">
        <f t="shared" si="3"/>
        <v>0</v>
      </c>
      <c r="BU4" s="226">
        <f t="shared" si="3"/>
        <v>0</v>
      </c>
      <c r="BV4" s="226">
        <f t="shared" si="3"/>
        <v>0</v>
      </c>
      <c r="BW4" s="226">
        <f t="shared" si="3"/>
        <v>0</v>
      </c>
      <c r="BX4" s="226">
        <f t="shared" si="3"/>
        <v>0</v>
      </c>
      <c r="BY4" s="226">
        <f t="shared" si="3"/>
        <v>0</v>
      </c>
      <c r="BZ4" s="226">
        <f t="shared" si="3"/>
        <v>0</v>
      </c>
      <c r="CA4" s="226">
        <f t="shared" si="3"/>
        <v>0</v>
      </c>
      <c r="CB4" s="226">
        <f t="shared" si="3"/>
        <v>0</v>
      </c>
      <c r="CC4" s="226">
        <f t="shared" si="3"/>
        <v>0</v>
      </c>
      <c r="CD4" s="226">
        <f t="shared" si="3"/>
        <v>0</v>
      </c>
      <c r="CE4" s="226">
        <f t="shared" si="3"/>
        <v>0</v>
      </c>
      <c r="CF4" s="226">
        <f t="shared" si="3"/>
        <v>0</v>
      </c>
      <c r="CG4" s="226">
        <f t="shared" si="3"/>
        <v>0</v>
      </c>
      <c r="CH4" s="226">
        <f t="shared" si="3"/>
        <v>0</v>
      </c>
      <c r="CI4" s="226">
        <f t="shared" si="3"/>
        <v>0</v>
      </c>
      <c r="CJ4" s="226">
        <f t="shared" si="3"/>
        <v>0</v>
      </c>
      <c r="CK4" s="226">
        <f t="shared" si="3"/>
        <v>0</v>
      </c>
      <c r="CL4" s="226">
        <f t="shared" si="3"/>
        <v>0</v>
      </c>
      <c r="CM4" s="226">
        <f t="shared" si="3"/>
        <v>0</v>
      </c>
      <c r="CN4" s="226">
        <f t="shared" si="3"/>
        <v>0</v>
      </c>
      <c r="CO4" s="226">
        <f t="shared" si="3"/>
        <v>0</v>
      </c>
      <c r="CP4" s="226">
        <f t="shared" si="3"/>
        <v>0</v>
      </c>
      <c r="CQ4" s="226">
        <f t="shared" si="3"/>
        <v>0</v>
      </c>
      <c r="CR4" s="226">
        <f t="shared" si="3"/>
        <v>0</v>
      </c>
      <c r="CS4" s="226">
        <f t="shared" si="3"/>
        <v>0</v>
      </c>
      <c r="CT4" s="226">
        <f t="shared" si="3"/>
        <v>0</v>
      </c>
      <c r="CU4" s="226">
        <f t="shared" si="3"/>
        <v>0</v>
      </c>
      <c r="CV4" s="226">
        <f t="shared" si="3"/>
        <v>0</v>
      </c>
      <c r="CW4" s="226">
        <f t="shared" si="3"/>
        <v>0</v>
      </c>
      <c r="CX4" s="226">
        <f t="shared" si="3"/>
        <v>0</v>
      </c>
      <c r="CY4" s="226">
        <f t="shared" si="3"/>
        <v>0</v>
      </c>
      <c r="CZ4" s="226">
        <f t="shared" si="3"/>
        <v>0</v>
      </c>
      <c r="DA4" s="226">
        <f t="shared" si="3"/>
        <v>0</v>
      </c>
      <c r="DB4" s="226">
        <f t="shared" si="3"/>
        <v>0</v>
      </c>
      <c r="DC4" s="226">
        <f t="shared" si="3"/>
        <v>0</v>
      </c>
      <c r="DD4" s="226">
        <f t="shared" si="3"/>
        <v>0</v>
      </c>
      <c r="DE4" s="226">
        <f t="shared" si="3"/>
        <v>0</v>
      </c>
      <c r="DF4" s="226">
        <f t="shared" si="3"/>
        <v>0</v>
      </c>
      <c r="DG4" s="226">
        <f t="shared" si="3"/>
        <v>0</v>
      </c>
      <c r="DH4" s="226">
        <f t="shared" si="3"/>
        <v>0</v>
      </c>
      <c r="DI4" s="226">
        <f t="shared" si="3"/>
        <v>0</v>
      </c>
      <c r="DJ4" s="226">
        <f t="shared" si="3"/>
        <v>0</v>
      </c>
      <c r="DK4" s="226">
        <f t="shared" si="3"/>
        <v>0</v>
      </c>
      <c r="DL4" s="226">
        <f t="shared" si="3"/>
        <v>0</v>
      </c>
      <c r="DM4" s="226">
        <f t="shared" si="3"/>
        <v>0</v>
      </c>
      <c r="DN4" s="226">
        <f t="shared" si="3"/>
        <v>0</v>
      </c>
      <c r="DO4" s="226">
        <f t="shared" si="3"/>
        <v>0</v>
      </c>
      <c r="DP4" s="226">
        <f t="shared" si="3"/>
        <v>0</v>
      </c>
      <c r="DQ4" s="226">
        <f t="shared" si="3"/>
        <v>0</v>
      </c>
      <c r="DR4" s="226">
        <f t="shared" si="3"/>
        <v>0</v>
      </c>
      <c r="DS4" s="226">
        <f t="shared" si="3"/>
        <v>0</v>
      </c>
      <c r="DT4" s="226">
        <f t="shared" si="3"/>
        <v>0</v>
      </c>
      <c r="DU4" s="226">
        <f t="shared" si="3"/>
        <v>0</v>
      </c>
      <c r="DV4" s="226">
        <f t="shared" si="3"/>
        <v>0</v>
      </c>
      <c r="DW4" s="226">
        <f t="shared" si="3"/>
        <v>0</v>
      </c>
      <c r="DX4" s="226">
        <f t="shared" si="3"/>
        <v>0</v>
      </c>
      <c r="DY4" s="226">
        <f t="shared" si="3"/>
        <v>0</v>
      </c>
      <c r="DZ4" s="226">
        <f t="shared" si="3"/>
        <v>0</v>
      </c>
      <c r="EA4" s="226">
        <f t="shared" si="3"/>
        <v>0</v>
      </c>
      <c r="EB4" s="226">
        <f t="shared" ref="EB4:ED4" si="4">-EB5</f>
        <v>0</v>
      </c>
      <c r="EC4" s="226">
        <f t="shared" si="4"/>
        <v>0</v>
      </c>
      <c r="ED4" s="226">
        <f t="shared" si="4"/>
        <v>0</v>
      </c>
    </row>
    <row r="5" spans="2:134" s="60" customFormat="1" ht="12.6" customHeight="1">
      <c r="B5" s="136" t="s">
        <v>78</v>
      </c>
      <c r="C5" s="72">
        <f>Инвестиции!F74</f>
        <v>0</v>
      </c>
      <c r="D5" s="72">
        <f>Инвестиции!G74</f>
        <v>0</v>
      </c>
      <c r="E5" s="72">
        <f>Инвестиции!H74</f>
        <v>0</v>
      </c>
      <c r="F5" s="72">
        <f>Инвестиции!I74</f>
        <v>0</v>
      </c>
      <c r="G5" s="72">
        <f>Инвестиции!J74</f>
        <v>20.399999999999999</v>
      </c>
      <c r="H5" s="72">
        <f>Инвестиции!K74</f>
        <v>0</v>
      </c>
      <c r="I5" s="72">
        <f>Инвестиции!L74</f>
        <v>0</v>
      </c>
      <c r="J5" s="72">
        <f>Инвестиции!M74</f>
        <v>0</v>
      </c>
      <c r="K5" s="72">
        <f>Инвестиции!N74</f>
        <v>0</v>
      </c>
      <c r="L5" s="72">
        <f>Инвестиции!O74</f>
        <v>3603.1122600000003</v>
      </c>
      <c r="M5" s="72">
        <f>Инвестиции!P74</f>
        <v>0</v>
      </c>
      <c r="N5" s="72">
        <f>Инвестиции!Q74</f>
        <v>1032.24</v>
      </c>
      <c r="O5" s="72">
        <f>Инвестиции!R74</f>
        <v>27024.328799999999</v>
      </c>
      <c r="P5" s="72">
        <f>Инвестиции!S74</f>
        <v>16125.62982</v>
      </c>
      <c r="Q5" s="72">
        <f>Инвестиции!T74</f>
        <v>403.18559999999997</v>
      </c>
      <c r="R5" s="72">
        <f>Инвестиции!U74</f>
        <v>46194.239399999999</v>
      </c>
      <c r="S5" s="72">
        <f>Инвестиции!V74</f>
        <v>7721.1959999999999</v>
      </c>
      <c r="T5" s="72">
        <f>Инвестиции!W74</f>
        <v>648.26099999999997</v>
      </c>
      <c r="U5" s="72">
        <f>Инвестиции!X74</f>
        <v>581.60400000000004</v>
      </c>
      <c r="V5" s="72">
        <f>Инвестиции!Y74</f>
        <v>48.245999999999995</v>
      </c>
      <c r="W5" s="72">
        <f>Инвестиции!Z74</f>
        <v>15200.613240000001</v>
      </c>
      <c r="X5" s="72">
        <f>Инвестиции!AA74</f>
        <v>53285.950559999997</v>
      </c>
      <c r="Y5" s="72">
        <f>Инвестиции!AB74</f>
        <v>1584.57</v>
      </c>
      <c r="Z5" s="72">
        <f>Инвестиции!AC74</f>
        <v>747.4559999999999</v>
      </c>
      <c r="AA5" s="72">
        <f>Инвестиции!AD74</f>
        <v>0</v>
      </c>
      <c r="AB5" s="72">
        <f>Инвестиции!AE74</f>
        <v>0</v>
      </c>
      <c r="AC5" s="72">
        <f>Инвестиции!AF74</f>
        <v>25853.7156</v>
      </c>
      <c r="AD5" s="72">
        <f>Инвестиции!AG74</f>
        <v>0</v>
      </c>
      <c r="AE5" s="72">
        <f>Инвестиции!AH74</f>
        <v>0</v>
      </c>
      <c r="AF5" s="72">
        <f>Инвестиции!AI74</f>
        <v>9310.3019944000062</v>
      </c>
      <c r="AG5" s="72">
        <f>Инвестиции!AJ74</f>
        <v>9310.3019944000062</v>
      </c>
      <c r="AH5" s="72">
        <f>Инвестиции!AK74</f>
        <v>9310.3019944000062</v>
      </c>
      <c r="AI5" s="72">
        <f>Инвестиции!AL74</f>
        <v>9310.3019944000062</v>
      </c>
      <c r="AJ5" s="72">
        <f>Инвестиции!AM74</f>
        <v>9310.3019944000062</v>
      </c>
      <c r="AK5" s="72">
        <f>Инвестиции!AN74</f>
        <v>0</v>
      </c>
      <c r="AL5" s="72">
        <f>Инвестиции!AO74</f>
        <v>0</v>
      </c>
      <c r="AM5" s="72">
        <f>Инвестиции!AP74</f>
        <v>0</v>
      </c>
      <c r="AN5" s="72">
        <f>Инвестиции!AQ74</f>
        <v>0</v>
      </c>
      <c r="AO5" s="72">
        <f>Инвестиции!AR74</f>
        <v>0</v>
      </c>
      <c r="AP5" s="72">
        <f>Инвестиции!AS74</f>
        <v>0</v>
      </c>
      <c r="AQ5" s="72">
        <f>Инвестиции!AT74</f>
        <v>0</v>
      </c>
      <c r="AR5" s="72">
        <f>Инвестиции!AU74</f>
        <v>10241.332193839991</v>
      </c>
      <c r="AS5" s="72">
        <f>Инвестиции!AV74</f>
        <v>10241.332193839991</v>
      </c>
      <c r="AT5" s="72">
        <f>Инвестиции!AW74</f>
        <v>10241.332193839991</v>
      </c>
      <c r="AU5" s="72">
        <f>Инвестиции!AX74</f>
        <v>10241.332193839991</v>
      </c>
      <c r="AV5" s="72">
        <f>Инвестиции!AY74</f>
        <v>10241.332193839991</v>
      </c>
      <c r="AW5" s="72">
        <f>Инвестиции!AZ74</f>
        <v>0</v>
      </c>
      <c r="AX5" s="72">
        <f>Инвестиции!BA74</f>
        <v>0</v>
      </c>
      <c r="AY5" s="72">
        <f>Инвестиции!BB74</f>
        <v>0</v>
      </c>
      <c r="AZ5" s="72">
        <f>Инвестиции!BC74</f>
        <v>0</v>
      </c>
      <c r="BA5" s="72">
        <f>Инвестиции!BD74</f>
        <v>0</v>
      </c>
      <c r="BB5" s="72">
        <f>Инвестиции!BE74</f>
        <v>0</v>
      </c>
      <c r="BC5" s="72">
        <f>Инвестиции!BF74</f>
        <v>0</v>
      </c>
      <c r="BD5" s="72">
        <f>Инвестиции!BG74</f>
        <v>11265.465413224005</v>
      </c>
      <c r="BE5" s="72">
        <f>Инвестиции!BH74</f>
        <v>11265.465413224005</v>
      </c>
      <c r="BF5" s="72">
        <f>Инвестиции!BI74</f>
        <v>11265.465413224005</v>
      </c>
      <c r="BG5" s="72">
        <f>Инвестиции!BJ74</f>
        <v>11265.465413224005</v>
      </c>
      <c r="BH5" s="72">
        <f>Инвестиции!BK74</f>
        <v>11265.465413224005</v>
      </c>
      <c r="BI5" s="72">
        <f>Инвестиции!BL74</f>
        <v>0</v>
      </c>
      <c r="BJ5" s="72">
        <f>Инвестиции!BM74</f>
        <v>0</v>
      </c>
      <c r="BK5" s="72">
        <f>Инвестиции!BN74</f>
        <v>0</v>
      </c>
      <c r="BL5" s="72">
        <f>Инвестиции!BO74</f>
        <v>0</v>
      </c>
      <c r="BM5" s="72">
        <f>Инвестиции!BP74</f>
        <v>0</v>
      </c>
      <c r="BN5" s="72">
        <f>Инвестиции!BQ74</f>
        <v>0</v>
      </c>
      <c r="BO5" s="72">
        <f>Инвестиции!BR74</f>
        <v>0</v>
      </c>
      <c r="BP5" s="72">
        <f>Инвестиции!BS74</f>
        <v>0</v>
      </c>
      <c r="BQ5" s="72">
        <f>Инвестиции!BT74</f>
        <v>0</v>
      </c>
      <c r="BR5" s="72">
        <f>Инвестиции!BU74</f>
        <v>0</v>
      </c>
      <c r="BS5" s="72">
        <f>Инвестиции!BV74</f>
        <v>0</v>
      </c>
      <c r="BT5" s="72">
        <f>Инвестиции!BW74</f>
        <v>0</v>
      </c>
      <c r="BU5" s="72">
        <f>Инвестиции!BX74</f>
        <v>0</v>
      </c>
      <c r="BV5" s="72">
        <f>Инвестиции!BY74</f>
        <v>0</v>
      </c>
      <c r="BW5" s="72">
        <f>Инвестиции!BZ74</f>
        <v>0</v>
      </c>
      <c r="BX5" s="72">
        <f>Инвестиции!CA74</f>
        <v>0</v>
      </c>
      <c r="BY5" s="72">
        <f>Инвестиции!CB74</f>
        <v>0</v>
      </c>
      <c r="BZ5" s="72">
        <f>Инвестиции!CC74</f>
        <v>0</v>
      </c>
      <c r="CA5" s="72">
        <f>Инвестиции!CD74</f>
        <v>0</v>
      </c>
      <c r="CB5" s="72">
        <f>Инвестиции!CE74</f>
        <v>0</v>
      </c>
      <c r="CC5" s="72">
        <f>Инвестиции!CF74</f>
        <v>0</v>
      </c>
      <c r="CD5" s="72">
        <f>Инвестиции!CG74</f>
        <v>0</v>
      </c>
      <c r="CE5" s="72">
        <f>Инвестиции!CH74</f>
        <v>0</v>
      </c>
      <c r="CF5" s="72">
        <f>Инвестиции!CI74</f>
        <v>0</v>
      </c>
      <c r="CG5" s="72">
        <f>Инвестиции!CJ74</f>
        <v>0</v>
      </c>
      <c r="CH5" s="72">
        <f>Инвестиции!CK74</f>
        <v>0</v>
      </c>
      <c r="CI5" s="72">
        <f>Инвестиции!CL74</f>
        <v>0</v>
      </c>
      <c r="CJ5" s="72">
        <f>Инвестиции!CM74</f>
        <v>0</v>
      </c>
      <c r="CK5" s="72">
        <f>Инвестиции!CN74</f>
        <v>0</v>
      </c>
      <c r="CL5" s="72">
        <f>Инвестиции!CO74</f>
        <v>0</v>
      </c>
      <c r="CM5" s="72">
        <f>Инвестиции!CP74</f>
        <v>0</v>
      </c>
      <c r="CN5" s="72">
        <f>Инвестиции!CQ74</f>
        <v>0</v>
      </c>
      <c r="CO5" s="72">
        <f>Инвестиции!CR74</f>
        <v>0</v>
      </c>
      <c r="CP5" s="72">
        <f>Инвестиции!CS74</f>
        <v>0</v>
      </c>
      <c r="CQ5" s="72">
        <f>Инвестиции!CT74</f>
        <v>0</v>
      </c>
      <c r="CR5" s="72">
        <f>Инвестиции!CU74</f>
        <v>0</v>
      </c>
      <c r="CS5" s="72">
        <f>Инвестиции!CV74</f>
        <v>0</v>
      </c>
      <c r="CT5" s="72">
        <f>Инвестиции!CW74</f>
        <v>0</v>
      </c>
      <c r="CU5" s="72">
        <f>Инвестиции!CX74</f>
        <v>0</v>
      </c>
      <c r="CV5" s="72">
        <f>Инвестиции!CY74</f>
        <v>0</v>
      </c>
      <c r="CW5" s="72">
        <f>Инвестиции!CZ74</f>
        <v>0</v>
      </c>
      <c r="CX5" s="72">
        <f>Инвестиции!DA74</f>
        <v>0</v>
      </c>
      <c r="CY5" s="72">
        <f>Инвестиции!DB74</f>
        <v>0</v>
      </c>
      <c r="CZ5" s="72">
        <f>Инвестиции!DC74</f>
        <v>0</v>
      </c>
      <c r="DA5" s="72">
        <f>Инвестиции!DD74</f>
        <v>0</v>
      </c>
      <c r="DB5" s="72">
        <f>Инвестиции!DE74</f>
        <v>0</v>
      </c>
      <c r="DC5" s="72">
        <f>Инвестиции!DF74</f>
        <v>0</v>
      </c>
      <c r="DD5" s="72">
        <f>Инвестиции!DG74</f>
        <v>0</v>
      </c>
      <c r="DE5" s="72">
        <f>Инвестиции!DH74</f>
        <v>0</v>
      </c>
      <c r="DF5" s="72">
        <f>Инвестиции!DI74</f>
        <v>0</v>
      </c>
      <c r="DG5" s="72">
        <f>Инвестиции!DJ74</f>
        <v>0</v>
      </c>
      <c r="DH5" s="72">
        <f>Инвестиции!DK74</f>
        <v>0</v>
      </c>
      <c r="DI5" s="72">
        <f>Инвестиции!DL74</f>
        <v>0</v>
      </c>
      <c r="DJ5" s="72">
        <f>Инвестиции!DM74</f>
        <v>0</v>
      </c>
      <c r="DK5" s="72">
        <f>Инвестиции!DN74</f>
        <v>0</v>
      </c>
      <c r="DL5" s="72">
        <f>Инвестиции!DO74</f>
        <v>0</v>
      </c>
      <c r="DM5" s="72">
        <f>Инвестиции!DP74</f>
        <v>0</v>
      </c>
      <c r="DN5" s="72">
        <f>Инвестиции!DQ74</f>
        <v>0</v>
      </c>
      <c r="DO5" s="72">
        <f>Инвестиции!DR74</f>
        <v>0</v>
      </c>
      <c r="DP5" s="72">
        <f>Инвестиции!DS74</f>
        <v>0</v>
      </c>
      <c r="DQ5" s="72">
        <f>Инвестиции!DT74</f>
        <v>0</v>
      </c>
      <c r="DR5" s="72">
        <f>Инвестиции!DU74</f>
        <v>0</v>
      </c>
      <c r="DS5" s="72">
        <f>Инвестиции!DV74</f>
        <v>0</v>
      </c>
      <c r="DT5" s="72">
        <f>Инвестиции!DW74</f>
        <v>0</v>
      </c>
      <c r="DU5" s="72">
        <f>Инвестиции!DX74</f>
        <v>0</v>
      </c>
      <c r="DV5" s="72">
        <f>Инвестиции!DY74</f>
        <v>0</v>
      </c>
      <c r="DW5" s="72">
        <f>Инвестиции!DZ74</f>
        <v>0</v>
      </c>
      <c r="DX5" s="72">
        <f>Инвестиции!EA74</f>
        <v>0</v>
      </c>
      <c r="DY5" s="72">
        <f>Инвестиции!EB74</f>
        <v>0</v>
      </c>
      <c r="DZ5" s="72">
        <f>Инвестиции!EC74</f>
        <v>0</v>
      </c>
      <c r="EA5" s="72">
        <f>Инвестиции!ED74</f>
        <v>0</v>
      </c>
      <c r="EB5" s="72">
        <f>Инвестиции!EE74</f>
        <v>0</v>
      </c>
      <c r="EC5" s="72">
        <f>Инвестиции!EF74</f>
        <v>0</v>
      </c>
      <c r="ED5" s="72">
        <f>Инвестиции!EG74</f>
        <v>0</v>
      </c>
    </row>
    <row r="6" spans="2:134" s="60" customFormat="1" ht="12.6" customHeight="1">
      <c r="B6" s="225" t="s">
        <v>51</v>
      </c>
      <c r="C6" s="226">
        <f>C7-C8-C11-C13-C14-C15-C16-C17</f>
        <v>0</v>
      </c>
      <c r="D6" s="226">
        <f t="shared" ref="D6:BO6" si="5">D7-D8-D11-D13-D14-D15-D16-D17</f>
        <v>0</v>
      </c>
      <c r="E6" s="226">
        <f t="shared" si="5"/>
        <v>0</v>
      </c>
      <c r="F6" s="226">
        <f t="shared" si="5"/>
        <v>0</v>
      </c>
      <c r="G6" s="226">
        <f t="shared" si="5"/>
        <v>0</v>
      </c>
      <c r="H6" s="226">
        <f t="shared" si="5"/>
        <v>0</v>
      </c>
      <c r="I6" s="226">
        <f t="shared" si="5"/>
        <v>0</v>
      </c>
      <c r="J6" s="226">
        <f t="shared" si="5"/>
        <v>0</v>
      </c>
      <c r="K6" s="226">
        <f t="shared" si="5"/>
        <v>0</v>
      </c>
      <c r="L6" s="226">
        <f t="shared" si="5"/>
        <v>0</v>
      </c>
      <c r="M6" s="226">
        <f t="shared" si="5"/>
        <v>0</v>
      </c>
      <c r="N6" s="226">
        <f t="shared" si="5"/>
        <v>-74.125222912499993</v>
      </c>
      <c r="O6" s="226">
        <f t="shared" si="5"/>
        <v>0</v>
      </c>
      <c r="P6" s="226">
        <f t="shared" si="5"/>
        <v>-104.21308457132152</v>
      </c>
      <c r="Q6" s="226">
        <f t="shared" si="5"/>
        <v>-178.61350499665085</v>
      </c>
      <c r="R6" s="226">
        <f t="shared" si="5"/>
        <v>-280.19721361301208</v>
      </c>
      <c r="S6" s="226">
        <f t="shared" si="5"/>
        <v>-305.82308460768536</v>
      </c>
      <c r="T6" s="226">
        <f t="shared" si="5"/>
        <v>-378.3897700329685</v>
      </c>
      <c r="U6" s="226">
        <f t="shared" si="5"/>
        <v>-302.38012347164602</v>
      </c>
      <c r="V6" s="226">
        <f t="shared" si="5"/>
        <v>-298.48288632632779</v>
      </c>
      <c r="W6" s="226">
        <f t="shared" si="5"/>
        <v>-378.65430096020521</v>
      </c>
      <c r="X6" s="226">
        <f t="shared" si="5"/>
        <v>-456.58991677896961</v>
      </c>
      <c r="Y6" s="226">
        <f t="shared" si="5"/>
        <v>-3172.3778685142406</v>
      </c>
      <c r="Z6" s="226">
        <f t="shared" si="5"/>
        <v>-9595.1070544131653</v>
      </c>
      <c r="AA6" s="226">
        <f>AA7-AA8-AA11-AA13-AA14-AA15-AA16-AA17</f>
        <v>-10280.40187380339</v>
      </c>
      <c r="AB6" s="226">
        <f t="shared" si="5"/>
        <v>-7950.1288927050182</v>
      </c>
      <c r="AC6" s="226">
        <f t="shared" si="5"/>
        <v>-2365.0245991012193</v>
      </c>
      <c r="AD6" s="226">
        <f t="shared" si="5"/>
        <v>4846.3747349216255</v>
      </c>
      <c r="AE6" s="226">
        <f t="shared" si="5"/>
        <v>3225.5384125744445</v>
      </c>
      <c r="AF6" s="226">
        <f t="shared" si="5"/>
        <v>6538.8944670542696</v>
      </c>
      <c r="AG6" s="226">
        <f t="shared" si="5"/>
        <v>9927.3592516514727</v>
      </c>
      <c r="AH6" s="226">
        <f t="shared" si="5"/>
        <v>15392.265568249877</v>
      </c>
      <c r="AI6" s="226">
        <f t="shared" si="5"/>
        <v>21629.026720523038</v>
      </c>
      <c r="AJ6" s="226">
        <f t="shared" si="5"/>
        <v>26747.431270813137</v>
      </c>
      <c r="AK6" s="226">
        <f t="shared" si="5"/>
        <v>28332.280288859041</v>
      </c>
      <c r="AL6" s="226">
        <f t="shared" si="5"/>
        <v>-5683.7089323518112</v>
      </c>
      <c r="AM6" s="226">
        <f t="shared" si="5"/>
        <v>-11361.084016885774</v>
      </c>
      <c r="AN6" s="226">
        <f t="shared" si="5"/>
        <v>-6839.2643044721881</v>
      </c>
      <c r="AO6" s="226">
        <f t="shared" si="5"/>
        <v>992.41422940984523</v>
      </c>
      <c r="AP6" s="226">
        <f t="shared" si="5"/>
        <v>7844.4024417354758</v>
      </c>
      <c r="AQ6" s="226">
        <f t="shared" si="5"/>
        <v>6726.4373646739368</v>
      </c>
      <c r="AR6" s="226">
        <f t="shared" si="5"/>
        <v>11174.29409180384</v>
      </c>
      <c r="AS6" s="226">
        <f t="shared" si="5"/>
        <v>15689.953488640811</v>
      </c>
      <c r="AT6" s="226">
        <f t="shared" si="5"/>
        <v>22993.220267176668</v>
      </c>
      <c r="AU6" s="226">
        <f t="shared" si="5"/>
        <v>31351.388476632848</v>
      </c>
      <c r="AV6" s="226">
        <f t="shared" si="5"/>
        <v>34944.550084027702</v>
      </c>
      <c r="AW6" s="226">
        <f t="shared" si="5"/>
        <v>32689.22276706577</v>
      </c>
      <c r="AX6" s="226">
        <f t="shared" si="5"/>
        <v>-6436.877224379039</v>
      </c>
      <c r="AY6" s="226">
        <f t="shared" si="5"/>
        <v>-11664.737634619669</v>
      </c>
      <c r="AZ6" s="226">
        <f t="shared" si="5"/>
        <v>-6836.5309818278656</v>
      </c>
      <c r="BA6" s="226">
        <f t="shared" si="5"/>
        <v>1319.9753522851786</v>
      </c>
      <c r="BB6" s="226">
        <f t="shared" si="5"/>
        <v>6343.3111171101127</v>
      </c>
      <c r="BC6" s="226">
        <f t="shared" si="5"/>
        <v>5353.230501237711</v>
      </c>
      <c r="BD6" s="226">
        <f t="shared" si="5"/>
        <v>11145.742150350463</v>
      </c>
      <c r="BE6" s="226">
        <f t="shared" si="5"/>
        <v>15157.257885854746</v>
      </c>
      <c r="BF6" s="226">
        <f t="shared" si="5"/>
        <v>21648.565291685693</v>
      </c>
      <c r="BG6" s="226">
        <f t="shared" si="5"/>
        <v>29070.086370776415</v>
      </c>
      <c r="BH6" s="226">
        <f t="shared" si="5"/>
        <v>35136.252855004837</v>
      </c>
      <c r="BI6" s="226">
        <f t="shared" si="5"/>
        <v>35318.047068938125</v>
      </c>
      <c r="BJ6" s="226">
        <f t="shared" si="5"/>
        <v>-6383.940407564256</v>
      </c>
      <c r="BK6" s="226">
        <f t="shared" si="5"/>
        <v>-12161.647808684684</v>
      </c>
      <c r="BL6" s="226">
        <f t="shared" si="5"/>
        <v>-7009.1473879415971</v>
      </c>
      <c r="BM6" s="226">
        <f t="shared" si="5"/>
        <v>1519.3451788971336</v>
      </c>
      <c r="BN6" s="226">
        <f t="shared" si="5"/>
        <v>7010.0775023364122</v>
      </c>
      <c r="BO6" s="226">
        <f t="shared" si="5"/>
        <v>5956.6512266887976</v>
      </c>
      <c r="BP6" s="226">
        <f t="shared" ref="BP6:EA6" si="6">BP7-BP8-BP11-BP13-BP14-BP15-BP16-BP17</f>
        <v>10179.277595235846</v>
      </c>
      <c r="BQ6" s="226">
        <f t="shared" si="6"/>
        <v>14550.222298314759</v>
      </c>
      <c r="BR6" s="226">
        <f t="shared" si="6"/>
        <v>21522.165070707502</v>
      </c>
      <c r="BS6" s="226">
        <f t="shared" si="6"/>
        <v>29490.073113968487</v>
      </c>
      <c r="BT6" s="226">
        <f t="shared" si="6"/>
        <v>36001.267248747943</v>
      </c>
      <c r="BU6" s="226">
        <f t="shared" si="6"/>
        <v>38158.316959357238</v>
      </c>
      <c r="BV6" s="226">
        <f t="shared" si="6"/>
        <v>-6304.6484786151386</v>
      </c>
      <c r="BW6" s="226">
        <f t="shared" si="6"/>
        <v>-13252.552504247111</v>
      </c>
      <c r="BX6" s="226">
        <f t="shared" si="6"/>
        <v>-7759.9479236050765</v>
      </c>
      <c r="BY6" s="226">
        <f t="shared" si="6"/>
        <v>1532.950041353329</v>
      </c>
      <c r="BZ6" s="226">
        <f t="shared" si="6"/>
        <v>7254.6165517669242</v>
      </c>
      <c r="CA6" s="226">
        <f t="shared" si="6"/>
        <v>6131.3358084073907</v>
      </c>
      <c r="CB6" s="226">
        <f t="shared" si="6"/>
        <v>10637.532372245567</v>
      </c>
      <c r="CC6" s="226">
        <f t="shared" si="6"/>
        <v>15292.050665050972</v>
      </c>
      <c r="CD6" s="226">
        <f t="shared" si="6"/>
        <v>22724.281076605374</v>
      </c>
      <c r="CE6" s="226">
        <f t="shared" si="6"/>
        <v>31223.164437646588</v>
      </c>
      <c r="CF6" s="226">
        <f t="shared" si="6"/>
        <v>38159.310941596603</v>
      </c>
      <c r="CG6" s="226">
        <f t="shared" si="6"/>
        <v>40458.579445595467</v>
      </c>
      <c r="CH6" s="226">
        <f t="shared" si="6"/>
        <v>-6955.138288831602</v>
      </c>
      <c r="CI6" s="226">
        <f t="shared" si="6"/>
        <v>-14449.640313976322</v>
      </c>
      <c r="CJ6" s="226">
        <f t="shared" si="6"/>
        <v>-8606.6597319857647</v>
      </c>
      <c r="CK6" s="226">
        <f t="shared" si="6"/>
        <v>1537.8167296329764</v>
      </c>
      <c r="CL6" s="226">
        <f t="shared" si="6"/>
        <v>7472.4102869650524</v>
      </c>
      <c r="CM6" s="226">
        <f t="shared" si="6"/>
        <v>6243.7164649461729</v>
      </c>
      <c r="CN6" s="226">
        <f t="shared" si="6"/>
        <v>11072.667704159223</v>
      </c>
      <c r="CO6" s="226">
        <f t="shared" si="6"/>
        <v>16014.726126472644</v>
      </c>
      <c r="CP6" s="226">
        <f t="shared" si="6"/>
        <v>23921.28514970994</v>
      </c>
      <c r="CQ6" s="226">
        <f t="shared" si="6"/>
        <v>32969.184469592859</v>
      </c>
      <c r="CR6" s="226">
        <f t="shared" si="6"/>
        <v>40342.199179847354</v>
      </c>
      <c r="CS6" s="226">
        <f t="shared" si="6"/>
        <v>42779.353037143439</v>
      </c>
      <c r="CT6" s="226">
        <f t="shared" si="6"/>
        <v>-7845.9742921495344</v>
      </c>
      <c r="CU6" s="226">
        <f t="shared" si="6"/>
        <v>-15874.269449581281</v>
      </c>
      <c r="CV6" s="226">
        <f t="shared" si="6"/>
        <v>-9654.5980619763886</v>
      </c>
      <c r="CW6" s="226">
        <f t="shared" si="6"/>
        <v>1150.9647883982175</v>
      </c>
      <c r="CX6" s="226">
        <f t="shared" si="6"/>
        <v>7886.5186360513171</v>
      </c>
      <c r="CY6" s="226">
        <f t="shared" si="6"/>
        <v>6238.0435056877795</v>
      </c>
      <c r="CZ6" s="226">
        <f t="shared" si="6"/>
        <v>11383.67325459474</v>
      </c>
      <c r="DA6" s="226">
        <f t="shared" si="6"/>
        <v>16638.881765840113</v>
      </c>
      <c r="DB6" s="226">
        <f t="shared" si="6"/>
        <v>25056.083294596567</v>
      </c>
      <c r="DC6" s="226">
        <f t="shared" si="6"/>
        <v>34693.615056831943</v>
      </c>
      <c r="DD6" s="226">
        <f t="shared" si="6"/>
        <v>42537.748044763677</v>
      </c>
      <c r="DE6" s="226">
        <f t="shared" si="6"/>
        <v>45130.001913359403</v>
      </c>
      <c r="DF6" s="226">
        <f t="shared" si="6"/>
        <v>-8870.7661483193097</v>
      </c>
      <c r="DG6" s="226">
        <f t="shared" si="6"/>
        <v>-17479.592737660299</v>
      </c>
      <c r="DH6" s="226">
        <f t="shared" si="6"/>
        <v>-10862.066974798165</v>
      </c>
      <c r="DI6" s="226">
        <f t="shared" si="6"/>
        <v>641.93320471677305</v>
      </c>
      <c r="DJ6" s="226">
        <f t="shared" si="6"/>
        <v>8274.2985748212832</v>
      </c>
      <c r="DK6" s="226">
        <f t="shared" si="6"/>
        <v>6141.6244749067964</v>
      </c>
      <c r="DL6" s="226">
        <f t="shared" si="6"/>
        <v>11621.814837410053</v>
      </c>
      <c r="DM6" s="226">
        <f t="shared" si="6"/>
        <v>17207.701994689065</v>
      </c>
      <c r="DN6" s="226">
        <f t="shared" si="6"/>
        <v>26164.315138034613</v>
      </c>
      <c r="DO6" s="226">
        <f t="shared" si="6"/>
        <v>36424.74354205931</v>
      </c>
      <c r="DP6" s="226">
        <f t="shared" si="6"/>
        <v>44766.51166652159</v>
      </c>
      <c r="DQ6" s="226">
        <f t="shared" si="6"/>
        <v>47522.392633704847</v>
      </c>
      <c r="DR6" s="226">
        <f t="shared" si="6"/>
        <v>-10056.556313097026</v>
      </c>
      <c r="DS6" s="226">
        <f t="shared" si="6"/>
        <v>-19281.941924123355</v>
      </c>
      <c r="DT6" s="226">
        <f t="shared" si="6"/>
        <v>-12244.290889391397</v>
      </c>
      <c r="DU6" s="226">
        <f t="shared" si="6"/>
        <v>-2.526801522981259</v>
      </c>
      <c r="DV6" s="226">
        <f t="shared" si="6"/>
        <v>8633.0181251162339</v>
      </c>
      <c r="DW6" s="226">
        <f t="shared" si="6"/>
        <v>5943.9409107584506</v>
      </c>
      <c r="DX6" s="226">
        <f t="shared" si="6"/>
        <v>11734.524883455922</v>
      </c>
      <c r="DY6" s="226">
        <f t="shared" si="6"/>
        <v>17673.359301978398</v>
      </c>
      <c r="DZ6" s="226">
        <f t="shared" si="6"/>
        <v>27203.511744844564</v>
      </c>
      <c r="EA6" s="226">
        <f t="shared" si="6"/>
        <v>38125.716263700764</v>
      </c>
      <c r="EB6" s="226">
        <f t="shared" ref="EB6:ED6" si="7">EB7-EB8-EB11-EB13-EB14-EB15-EB16-EB17</f>
        <v>46996.905280028208</v>
      </c>
      <c r="EC6" s="226">
        <f t="shared" si="7"/>
        <v>49929.259877833181</v>
      </c>
      <c r="ED6" s="226">
        <f t="shared" si="7"/>
        <v>-11438.709732962408</v>
      </c>
    </row>
    <row r="7" spans="2:134" s="60" customFormat="1" ht="12.6" customHeight="1">
      <c r="B7" s="136" t="s">
        <v>71</v>
      </c>
      <c r="C7" s="72">
        <f>'Продажи и Выручка'!B32</f>
        <v>0</v>
      </c>
      <c r="D7" s="72">
        <f>'Продажи и Выручка'!C32</f>
        <v>0</v>
      </c>
      <c r="E7" s="72">
        <f>'Продажи и Выручка'!D32</f>
        <v>0</v>
      </c>
      <c r="F7" s="72">
        <f>'Продажи и Выручка'!E32</f>
        <v>0</v>
      </c>
      <c r="G7" s="72">
        <f>'Продажи и Выручка'!F32</f>
        <v>0</v>
      </c>
      <c r="H7" s="72">
        <f>'Продажи и Выручка'!G32</f>
        <v>0</v>
      </c>
      <c r="I7" s="72">
        <f>'Продажи и Выручка'!H32</f>
        <v>0</v>
      </c>
      <c r="J7" s="72">
        <f>'Продажи и Выручка'!I32</f>
        <v>0</v>
      </c>
      <c r="K7" s="72">
        <f>'Продажи и Выручка'!J32</f>
        <v>0</v>
      </c>
      <c r="L7" s="72">
        <f>'Продажи и Выручка'!K32</f>
        <v>0</v>
      </c>
      <c r="M7" s="72">
        <f>'Продажи и Выручка'!L32</f>
        <v>0</v>
      </c>
      <c r="N7" s="72">
        <f>'Продажи и Выручка'!M32</f>
        <v>0</v>
      </c>
      <c r="O7" s="72">
        <f>'Продажи и Выручка'!N32</f>
        <v>0</v>
      </c>
      <c r="P7" s="72">
        <f>'Продажи и Выручка'!O32</f>
        <v>0</v>
      </c>
      <c r="Q7" s="72">
        <f>'Продажи и Выручка'!P32</f>
        <v>0</v>
      </c>
      <c r="R7" s="72">
        <f>'Продажи и Выручка'!Q32</f>
        <v>0</v>
      </c>
      <c r="S7" s="72">
        <f>'Продажи и Выручка'!R32</f>
        <v>0</v>
      </c>
      <c r="T7" s="72">
        <f>'Продажи и Выручка'!S32</f>
        <v>0</v>
      </c>
      <c r="U7" s="72">
        <f>'Продажи и Выручка'!T32</f>
        <v>0</v>
      </c>
      <c r="V7" s="72">
        <f>'Продажи и Выручка'!U32</f>
        <v>0</v>
      </c>
      <c r="W7" s="72">
        <f>'Продажи и Выручка'!V32</f>
        <v>0</v>
      </c>
      <c r="X7" s="72">
        <f>'Продажи и Выручка'!W32</f>
        <v>0</v>
      </c>
      <c r="Y7" s="72">
        <f>'Продажи и Выручка'!X32</f>
        <v>0</v>
      </c>
      <c r="Z7" s="72">
        <f>'Продажи и Выручка'!Y32</f>
        <v>4249.5699000000004</v>
      </c>
      <c r="AA7" s="72">
        <f>'Продажи и Выручка'!Z32</f>
        <v>2799.7166399999996</v>
      </c>
      <c r="AB7" s="72">
        <f>'Продажи и Выручка'!AA32</f>
        <v>7199.2713599999997</v>
      </c>
      <c r="AC7" s="72">
        <f>'Продажи и Выручка'!AB32</f>
        <v>17998.178400000001</v>
      </c>
      <c r="AD7" s="72">
        <f>'Продажи и Выручка'!AC32</f>
        <v>31496.8122</v>
      </c>
      <c r="AE7" s="72">
        <f>'Продажи и Выручка'!AD32</f>
        <v>31996.761600000002</v>
      </c>
      <c r="AF7" s="72">
        <f>'Продажи и Выручка'!AE32</f>
        <v>38396.113919999996</v>
      </c>
      <c r="AG7" s="72">
        <f>'Продажи и Выручка'!AF32</f>
        <v>44795.466240000009</v>
      </c>
      <c r="AH7" s="72">
        <f>'Продажи и Выручка'!AG32</f>
        <v>55194.413759999996</v>
      </c>
      <c r="AI7" s="72">
        <f>'Продажи и Выручка'!AH32</f>
        <v>67193.199360000013</v>
      </c>
      <c r="AJ7" s="72">
        <f>'Продажи и Выручка'!AI32</f>
        <v>76792.227839999992</v>
      </c>
      <c r="AK7" s="72">
        <f>'Продажи и Выручка'!AJ32</f>
        <v>79991.90399999998</v>
      </c>
      <c r="AL7" s="72">
        <f>'Продажи и Выручка'!AK32</f>
        <v>16998.279600000002</v>
      </c>
      <c r="AM7" s="72">
        <f>'Продажи и Выручка'!AL32</f>
        <v>8399.1499200000017</v>
      </c>
      <c r="AN7" s="72">
        <f>'Продажи и Выручка'!AM32</f>
        <v>16798.299840000003</v>
      </c>
      <c r="AO7" s="72">
        <f>'Продажи и Выручка'!AN32</f>
        <v>31496.8122</v>
      </c>
      <c r="AP7" s="72">
        <f>'Продажи и Выручка'!AO32</f>
        <v>44095.537080000002</v>
      </c>
      <c r="AQ7" s="72">
        <f>'Продажи и Выручка'!AP32</f>
        <v>41995.749600000003</v>
      </c>
      <c r="AR7" s="72">
        <f>'Продажи и Выручка'!AQ32</f>
        <v>50394.899519999999</v>
      </c>
      <c r="AS7" s="72">
        <f>'Продажи и Выручка'!AR32</f>
        <v>58794.04944000001</v>
      </c>
      <c r="AT7" s="72">
        <f>'Продажи и Выручка'!AS32</f>
        <v>72442.668059999982</v>
      </c>
      <c r="AU7" s="72">
        <f>'Продажи и Выручка'!AT32</f>
        <v>88191.074160000004</v>
      </c>
      <c r="AV7" s="72">
        <f>'Продажи и Выручка'!AU32</f>
        <v>100789.79904</v>
      </c>
      <c r="AW7" s="72">
        <f>'Продажи и Выручка'!AV32</f>
        <v>104989.37399999998</v>
      </c>
      <c r="AX7" s="72">
        <f>'Продажи и Выручка'!AW32</f>
        <v>17848.193579999999</v>
      </c>
      <c r="AY7" s="72">
        <f>'Продажи и Выручка'!AX32</f>
        <v>9419.1074160000007</v>
      </c>
      <c r="AZ7" s="72">
        <f>'Продажи и Выручка'!AY32</f>
        <v>18238.214832000001</v>
      </c>
      <c r="BA7" s="72">
        <f>'Продажи и Выручка'!AZ32</f>
        <v>33671.65281</v>
      </c>
      <c r="BB7" s="72">
        <f>'Продажи и Выручка'!BA32</f>
        <v>46900.313933999998</v>
      </c>
      <c r="BC7" s="72">
        <f>'Продажи и Выручка'!BB32</f>
        <v>44695.537080000002</v>
      </c>
      <c r="BD7" s="72">
        <f>'Продажи и Выручка'!BC32</f>
        <v>53514.644496000001</v>
      </c>
      <c r="BE7" s="72">
        <f>'Продажи и Выручка'!BD32</f>
        <v>62333.751912000014</v>
      </c>
      <c r="BF7" s="72">
        <f>'Продажи и Выручка'!BE32</f>
        <v>76664.801462999982</v>
      </c>
      <c r="BG7" s="72">
        <f>'Продажи и Выручка'!BF32</f>
        <v>93200.627867999996</v>
      </c>
      <c r="BH7" s="72">
        <f>'Продажи и Выручка'!BG32</f>
        <v>106429.288992</v>
      </c>
      <c r="BI7" s="72">
        <f>'Продажи и Выручка'!BH32</f>
        <v>110838.84270000001</v>
      </c>
      <c r="BJ7" s="72">
        <f>'Продажи и Выручка'!BI32</f>
        <v>19340.603259000003</v>
      </c>
      <c r="BK7" s="72">
        <f>'Продажи и Выручка'!BJ32</f>
        <v>10520.062786800001</v>
      </c>
      <c r="BL7" s="72">
        <f>'Продажи и Выручка'!BK32</f>
        <v>19780.125573600002</v>
      </c>
      <c r="BM7" s="72">
        <f>'Продажи и Выручка'!BL32</f>
        <v>35985.235450500004</v>
      </c>
      <c r="BN7" s="72">
        <f>'Продажи и Выручка'!BM32</f>
        <v>49875.329630700006</v>
      </c>
      <c r="BO7" s="72">
        <f>'Продажи и Выручка'!BN32</f>
        <v>47560.313933999998</v>
      </c>
      <c r="BP7" s="72">
        <f>'Продажи и Выручка'!BO32</f>
        <v>56820.376720800006</v>
      </c>
      <c r="BQ7" s="72">
        <f>'Продажи и Выручка'!BP32</f>
        <v>66080.439507600022</v>
      </c>
      <c r="BR7" s="72">
        <f>'Продажи и Выручка'!BQ32</f>
        <v>81128.041536150005</v>
      </c>
      <c r="BS7" s="72">
        <f>'Продажи и Выручка'!BR32</f>
        <v>98490.659261400011</v>
      </c>
      <c r="BT7" s="72">
        <f>'Продажи и Выручка'!BS32</f>
        <v>112380.75344160001</v>
      </c>
      <c r="BU7" s="72">
        <f>'Продажи и Выручка'!BT32</f>
        <v>117010.78483500001</v>
      </c>
      <c r="BV7" s="72">
        <f>'Продажи и Выручка'!BU32</f>
        <v>20937.633421950006</v>
      </c>
      <c r="BW7" s="72">
        <f>'Продажи и Выручка'!BV32</f>
        <v>11046.065926140001</v>
      </c>
      <c r="BX7" s="72">
        <f>'Продажи и Выручка'!BW32</f>
        <v>20769.131852280003</v>
      </c>
      <c r="BY7" s="72">
        <f>'Продажи и Выручка'!BX32</f>
        <v>37784.497223024999</v>
      </c>
      <c r="BZ7" s="72">
        <f>'Продажи и Выручка'!BY32</f>
        <v>52369.096112235013</v>
      </c>
      <c r="CA7" s="72">
        <f>'Продажи и Выручка'!BZ32</f>
        <v>49938.329630700006</v>
      </c>
      <c r="CB7" s="72">
        <f>'Продажи и Выручка'!CA32</f>
        <v>59661.395556839998</v>
      </c>
      <c r="CC7" s="72">
        <f>'Продажи и Выручка'!CB32</f>
        <v>69384.461482980027</v>
      </c>
      <c r="CD7" s="72">
        <f>'Продажи и Выручка'!CC32</f>
        <v>85184.443612957504</v>
      </c>
      <c r="CE7" s="72">
        <f>'Продажи и Выручка'!CD32</f>
        <v>103415.19222447003</v>
      </c>
      <c r="CF7" s="72">
        <f>'Продажи и Выручка'!CE32</f>
        <v>117999.79111368</v>
      </c>
      <c r="CG7" s="72">
        <f>'Продажи и Выручка'!CF32</f>
        <v>122861.32407675002</v>
      </c>
      <c r="CH7" s="72">
        <f>'Продажи и Выручка'!CG32</f>
        <v>21984.51509304751</v>
      </c>
      <c r="CI7" s="72">
        <f>'Продажи и Выручка'!CH32</f>
        <v>11598.369222447001</v>
      </c>
      <c r="CJ7" s="72">
        <f>'Продажи и Выручка'!CI32</f>
        <v>21807.588444894005</v>
      </c>
      <c r="CK7" s="72">
        <f>'Продажи и Выручка'!CJ32</f>
        <v>39673.722084176261</v>
      </c>
      <c r="CL7" s="72">
        <f>'Продажи и Выручка'!CK32</f>
        <v>54987.550917846762</v>
      </c>
      <c r="CM7" s="72">
        <f>'Продажи и Выручка'!CL32</f>
        <v>52435.246112235014</v>
      </c>
      <c r="CN7" s="72">
        <f>'Продажи и Выручка'!CM32</f>
        <v>62644.465334682012</v>
      </c>
      <c r="CO7" s="72">
        <f>'Продажи и Выручка'!CN32</f>
        <v>72853.684557129018</v>
      </c>
      <c r="CP7" s="72">
        <f>'Продажи и Выручка'!CO32</f>
        <v>89443.665793605382</v>
      </c>
      <c r="CQ7" s="72">
        <f>'Продажи и Выручка'!CP32</f>
        <v>108585.95183569352</v>
      </c>
      <c r="CR7" s="72">
        <f>'Продажи и Выручка'!CQ32</f>
        <v>123899.78066936402</v>
      </c>
      <c r="CS7" s="72">
        <f>'Продажи и Выручка'!CR32</f>
        <v>129004.39028058751</v>
      </c>
      <c r="CT7" s="72">
        <f>'Продажи и Выручка'!CS32</f>
        <v>23083.740847699883</v>
      </c>
      <c r="CU7" s="72">
        <f>'Продажи и Выручка'!CT32</f>
        <v>12178.287683569353</v>
      </c>
      <c r="CV7" s="72">
        <f>'Продажи и Выручка'!CU32</f>
        <v>22897.967867138708</v>
      </c>
      <c r="CW7" s="72">
        <f>'Продажи и Выручка'!CV32</f>
        <v>41657.408188385074</v>
      </c>
      <c r="CX7" s="72">
        <f>'Продажи и Выручка'!CW32</f>
        <v>57736.928463739096</v>
      </c>
      <c r="CY7" s="72">
        <f>'Продажи и Выручка'!CX32</f>
        <v>55057.008417846759</v>
      </c>
      <c r="CZ7" s="72">
        <f>'Продажи и Выручка'!CY32</f>
        <v>65776.688601416114</v>
      </c>
      <c r="DA7" s="72">
        <f>'Продажи и Выручка'!CZ32</f>
        <v>76496.368784985476</v>
      </c>
      <c r="DB7" s="72">
        <f>'Продажи и Выручка'!DA32</f>
        <v>93915.849083285662</v>
      </c>
      <c r="DC7" s="72">
        <f>'Продажи и Выручка'!DB32</f>
        <v>114015.24942747819</v>
      </c>
      <c r="DD7" s="72">
        <f>'Продажи и Выручка'!DC32</f>
        <v>130094.76970283221</v>
      </c>
      <c r="DE7" s="72">
        <f>'Продажи и Выручка'!DD32</f>
        <v>135454.6097946169</v>
      </c>
      <c r="DF7" s="72">
        <f>'Продажи и Выручка'!DE32</f>
        <v>24237.927890084877</v>
      </c>
      <c r="DG7" s="72">
        <f>'Продажи и Выручка'!DF32</f>
        <v>12787.202067747819</v>
      </c>
      <c r="DH7" s="72">
        <f>'Продажи и Выручка'!DG32</f>
        <v>24042.866260495641</v>
      </c>
      <c r="DI7" s="72">
        <f>'Продажи и Выручка'!DH32</f>
        <v>43740.278597804332</v>
      </c>
      <c r="DJ7" s="72">
        <f>'Продажи и Выручка'!DI32</f>
        <v>60623.774886926054</v>
      </c>
      <c r="DK7" s="72">
        <f>'Продажи и Выручка'!DJ32</f>
        <v>57809.858838739099</v>
      </c>
      <c r="DL7" s="72">
        <f>'Продажи и Выручка'!DK32</f>
        <v>69065.523031486926</v>
      </c>
      <c r="DM7" s="72">
        <f>'Продажи и Выручка'!DL32</f>
        <v>80321.18722423476</v>
      </c>
      <c r="DN7" s="72">
        <f>'Продажи и Выручка'!DM32</f>
        <v>98611.641537449934</v>
      </c>
      <c r="DO7" s="72">
        <f>'Продажи и Выручка'!DN32</f>
        <v>119716.0118988521</v>
      </c>
      <c r="DP7" s="72">
        <f>'Продажи и Выручка'!DO32</f>
        <v>136599.50818797387</v>
      </c>
      <c r="DQ7" s="72">
        <f>'Продажи и Выручка'!DP32</f>
        <v>142227.34028434777</v>
      </c>
      <c r="DR7" s="72">
        <f>'Продажи и Выручка'!DQ32</f>
        <v>25449.824284589122</v>
      </c>
      <c r="DS7" s="72">
        <f>'Продажи и Выручка'!DR32</f>
        <v>13426.562171135214</v>
      </c>
      <c r="DT7" s="72">
        <f>'Продажи и Выручка'!DS32</f>
        <v>25245.009573520427</v>
      </c>
      <c r="DU7" s="72">
        <f>'Продажи и Выручка'!DT32</f>
        <v>45927.292527694539</v>
      </c>
      <c r="DV7" s="72">
        <f>'Продажи и Выручка'!DU32</f>
        <v>63654.96363127236</v>
      </c>
      <c r="DW7" s="72">
        <f>'Продажи и Выручка'!DV32</f>
        <v>60700.351780676057</v>
      </c>
      <c r="DX7" s="72">
        <f>'Продажи и Выручка'!DW32</f>
        <v>72518.799183061274</v>
      </c>
      <c r="DY7" s="72">
        <f>'Продажи и Выручка'!DX32</f>
        <v>84337.246585446497</v>
      </c>
      <c r="DZ7" s="72">
        <f>'Продажи и Выручка'!DY32</f>
        <v>103542.22361432243</v>
      </c>
      <c r="EA7" s="72">
        <f>'Продажи и Выручка'!DZ32</f>
        <v>125701.81249379473</v>
      </c>
      <c r="EB7" s="72">
        <f>'Продажи и Выручка'!EA32</f>
        <v>143429.48359737254</v>
      </c>
      <c r="EC7" s="72">
        <f>'Продажи и Выручка'!EB32</f>
        <v>149338.70729856513</v>
      </c>
      <c r="ED7" s="72">
        <f>'Продажи и Выручка'!EC32</f>
        <v>26722.315498818578</v>
      </c>
    </row>
    <row r="8" spans="2:134" s="60" customFormat="1" ht="12.6" customHeight="1">
      <c r="B8" s="136" t="s">
        <v>52</v>
      </c>
      <c r="C8" s="72">
        <f t="shared" ref="C8:Z8" si="8">SUM(C9:C10)</f>
        <v>0</v>
      </c>
      <c r="D8" s="72">
        <f t="shared" si="8"/>
        <v>0</v>
      </c>
      <c r="E8" s="72">
        <f t="shared" si="8"/>
        <v>0</v>
      </c>
      <c r="F8" s="72">
        <f t="shared" si="8"/>
        <v>0</v>
      </c>
      <c r="G8" s="72">
        <f t="shared" si="8"/>
        <v>0</v>
      </c>
      <c r="H8" s="72">
        <f t="shared" si="8"/>
        <v>0</v>
      </c>
      <c r="I8" s="72">
        <f t="shared" si="8"/>
        <v>0</v>
      </c>
      <c r="J8" s="72">
        <f t="shared" si="8"/>
        <v>0</v>
      </c>
      <c r="K8" s="72">
        <f t="shared" si="8"/>
        <v>0</v>
      </c>
      <c r="L8" s="72">
        <f t="shared" si="8"/>
        <v>0</v>
      </c>
      <c r="M8" s="72">
        <f t="shared" si="8"/>
        <v>0</v>
      </c>
      <c r="N8" s="72">
        <f t="shared" si="8"/>
        <v>0</v>
      </c>
      <c r="O8" s="72">
        <f t="shared" si="8"/>
        <v>0</v>
      </c>
      <c r="P8" s="72">
        <f t="shared" si="8"/>
        <v>0</v>
      </c>
      <c r="Q8" s="72">
        <f t="shared" si="8"/>
        <v>0</v>
      </c>
      <c r="R8" s="72">
        <f t="shared" si="8"/>
        <v>0</v>
      </c>
      <c r="S8" s="72">
        <f t="shared" si="8"/>
        <v>0</v>
      </c>
      <c r="T8" s="72">
        <f t="shared" si="8"/>
        <v>0</v>
      </c>
      <c r="U8" s="72">
        <f t="shared" si="8"/>
        <v>0</v>
      </c>
      <c r="V8" s="72">
        <f t="shared" si="8"/>
        <v>0</v>
      </c>
      <c r="W8" s="72">
        <f t="shared" si="8"/>
        <v>0</v>
      </c>
      <c r="X8" s="72">
        <f t="shared" si="8"/>
        <v>0</v>
      </c>
      <c r="Y8" s="72">
        <f t="shared" si="8"/>
        <v>2159</v>
      </c>
      <c r="Z8" s="72">
        <f t="shared" si="8"/>
        <v>12760.938050000001</v>
      </c>
      <c r="AA8" s="72">
        <f>SUM(AA9:AA10)</f>
        <v>12076.899679999999</v>
      </c>
      <c r="AB8" s="72">
        <f t="shared" ref="AB8:CM8" si="9">SUM(AB9:AB10)</f>
        <v>14152.60232</v>
      </c>
      <c r="AC8" s="72">
        <f t="shared" si="9"/>
        <v>19247.5088</v>
      </c>
      <c r="AD8" s="72">
        <f t="shared" si="9"/>
        <v>25616.141899999999</v>
      </c>
      <c r="AE8" s="72">
        <f t="shared" si="9"/>
        <v>25852.017199999998</v>
      </c>
      <c r="AF8" s="72">
        <f t="shared" si="9"/>
        <v>28871.22104</v>
      </c>
      <c r="AG8" s="72">
        <f t="shared" si="9"/>
        <v>31890.424880000002</v>
      </c>
      <c r="AH8" s="72">
        <f t="shared" si="9"/>
        <v>36796.631119999998</v>
      </c>
      <c r="AI8" s="72">
        <f t="shared" si="9"/>
        <v>42457.638319999998</v>
      </c>
      <c r="AJ8" s="72">
        <f t="shared" si="9"/>
        <v>46986.444080000001</v>
      </c>
      <c r="AK8" s="72">
        <f t="shared" si="9"/>
        <v>48611.045999999995</v>
      </c>
      <c r="AL8" s="72">
        <f t="shared" si="9"/>
        <v>19411.7582</v>
      </c>
      <c r="AM8" s="72">
        <f t="shared" si="9"/>
        <v>16411.522744000002</v>
      </c>
      <c r="AN8" s="72">
        <f t="shared" si="9"/>
        <v>20298.747687999999</v>
      </c>
      <c r="AO8" s="72">
        <f t="shared" si="9"/>
        <v>27101.391340000002</v>
      </c>
      <c r="AP8" s="72">
        <f t="shared" si="9"/>
        <v>32932.228755999997</v>
      </c>
      <c r="AQ8" s="72">
        <f t="shared" si="9"/>
        <v>31960.42252</v>
      </c>
      <c r="AR8" s="72">
        <f t="shared" si="9"/>
        <v>35847.647464000001</v>
      </c>
      <c r="AS8" s="72">
        <f t="shared" si="9"/>
        <v>39734.872408000003</v>
      </c>
      <c r="AT8" s="72">
        <f t="shared" si="9"/>
        <v>46051.612942</v>
      </c>
      <c r="AU8" s="72">
        <f t="shared" si="9"/>
        <v>53340.159712000001</v>
      </c>
      <c r="AV8" s="72">
        <f t="shared" si="9"/>
        <v>59170.997128000003</v>
      </c>
      <c r="AW8" s="72">
        <f t="shared" si="9"/>
        <v>61114.609600000003</v>
      </c>
      <c r="AX8" s="72">
        <f t="shared" si="9"/>
        <v>20784.650806000001</v>
      </c>
      <c r="AY8" s="72">
        <f t="shared" si="9"/>
        <v>17773.186272320003</v>
      </c>
      <c r="AZ8" s="72">
        <f t="shared" si="9"/>
        <v>21777.027964640001</v>
      </c>
      <c r="BA8" s="72">
        <f t="shared" si="9"/>
        <v>28783.750926200002</v>
      </c>
      <c r="BB8" s="72">
        <f t="shared" si="9"/>
        <v>34789.51346468</v>
      </c>
      <c r="BC8" s="72">
        <f t="shared" si="9"/>
        <v>33788.553041599997</v>
      </c>
      <c r="BD8" s="72">
        <f t="shared" si="9"/>
        <v>37792.394733920002</v>
      </c>
      <c r="BE8" s="72">
        <f t="shared" si="9"/>
        <v>41796.236426240001</v>
      </c>
      <c r="BF8" s="72">
        <f t="shared" si="9"/>
        <v>48302.479176259993</v>
      </c>
      <c r="BG8" s="72">
        <f t="shared" si="9"/>
        <v>55809.682349359995</v>
      </c>
      <c r="BH8" s="72">
        <f t="shared" si="9"/>
        <v>61815.44488784</v>
      </c>
      <c r="BI8" s="72">
        <f t="shared" si="9"/>
        <v>63817.365733999999</v>
      </c>
      <c r="BJ8" s="72">
        <f t="shared" si="9"/>
        <v>22277.508176180003</v>
      </c>
      <c r="BK8" s="72">
        <f t="shared" si="9"/>
        <v>19262.336171089599</v>
      </c>
      <c r="BL8" s="72">
        <f t="shared" si="9"/>
        <v>23386.2931141792</v>
      </c>
      <c r="BM8" s="72">
        <f t="shared" si="9"/>
        <v>30603.217764585999</v>
      </c>
      <c r="BN8" s="72">
        <f t="shared" si="9"/>
        <v>36789.153179220397</v>
      </c>
      <c r="BO8" s="72">
        <f t="shared" si="9"/>
        <v>35758.163943448002</v>
      </c>
      <c r="BP8" s="72">
        <f t="shared" si="9"/>
        <v>39882.120886537603</v>
      </c>
      <c r="BQ8" s="72">
        <f t="shared" si="9"/>
        <v>44006.077829627211</v>
      </c>
      <c r="BR8" s="72">
        <f t="shared" si="9"/>
        <v>50707.507862147817</v>
      </c>
      <c r="BS8" s="72">
        <f t="shared" si="9"/>
        <v>58439.927130440803</v>
      </c>
      <c r="BT8" s="72">
        <f t="shared" si="9"/>
        <v>64625.862545075215</v>
      </c>
      <c r="BU8" s="72">
        <f t="shared" si="9"/>
        <v>66687.841016620005</v>
      </c>
      <c r="BV8" s="72">
        <f t="shared" si="9"/>
        <v>23901.787732065404</v>
      </c>
      <c r="BW8" s="72">
        <f t="shared" si="9"/>
        <v>20891.440005482291</v>
      </c>
      <c r="BX8" s="72">
        <f t="shared" si="9"/>
        <v>25139.115656864578</v>
      </c>
      <c r="BY8" s="72">
        <f t="shared" si="9"/>
        <v>32572.548046783584</v>
      </c>
      <c r="BZ8" s="72">
        <f t="shared" si="9"/>
        <v>38944.061523857017</v>
      </c>
      <c r="CA8" s="72">
        <f t="shared" si="9"/>
        <v>37882.142611011448</v>
      </c>
      <c r="CB8" s="72">
        <f t="shared" si="9"/>
        <v>42129.818262393732</v>
      </c>
      <c r="CC8" s="72">
        <f t="shared" si="9"/>
        <v>46377.49391377603</v>
      </c>
      <c r="CD8" s="72">
        <f t="shared" si="9"/>
        <v>53279.966847272241</v>
      </c>
      <c r="CE8" s="72">
        <f t="shared" si="9"/>
        <v>61244.358693614027</v>
      </c>
      <c r="CF8" s="72">
        <f t="shared" si="9"/>
        <v>67615.872170687464</v>
      </c>
      <c r="CG8" s="72">
        <f t="shared" si="9"/>
        <v>69739.709996378602</v>
      </c>
      <c r="CH8" s="72">
        <f t="shared" si="9"/>
        <v>25670.075113287367</v>
      </c>
      <c r="CI8" s="72">
        <f t="shared" si="9"/>
        <v>22674.202217964754</v>
      </c>
      <c r="CJ8" s="72">
        <f t="shared" si="9"/>
        <v>27049.308138888511</v>
      </c>
      <c r="CK8" s="72">
        <f t="shared" si="9"/>
        <v>34705.743500505087</v>
      </c>
      <c r="CL8" s="72">
        <f t="shared" si="9"/>
        <v>41268.402381890723</v>
      </c>
      <c r="CM8" s="72">
        <f t="shared" si="9"/>
        <v>40174.625901659791</v>
      </c>
      <c r="CN8" s="72">
        <f t="shared" ref="CN8:CY8" si="10">SUM(CN9:CN10)</f>
        <v>44549.731822583548</v>
      </c>
      <c r="CO8" s="72">
        <f t="shared" si="10"/>
        <v>48924.837743507305</v>
      </c>
      <c r="CP8" s="72">
        <f t="shared" si="10"/>
        <v>56034.384865008404</v>
      </c>
      <c r="CQ8" s="72">
        <f t="shared" si="10"/>
        <v>64237.708466740449</v>
      </c>
      <c r="CR8" s="72">
        <f t="shared" si="10"/>
        <v>70800.367348126092</v>
      </c>
      <c r="CS8" s="72">
        <f t="shared" si="10"/>
        <v>72987.920308587971</v>
      </c>
      <c r="CT8" s="72">
        <f t="shared" si="10"/>
        <v>27596.196379003984</v>
      </c>
      <c r="CU8" s="72">
        <f t="shared" si="10"/>
        <v>24625.687418354752</v>
      </c>
      <c r="CV8" s="72">
        <f t="shared" si="10"/>
        <v>29132.046516906223</v>
      </c>
      <c r="CW8" s="72">
        <f t="shared" si="10"/>
        <v>37018.174939371296</v>
      </c>
      <c r="CX8" s="72">
        <f t="shared" si="10"/>
        <v>43777.713587198501</v>
      </c>
      <c r="CY8" s="72">
        <f t="shared" si="10"/>
        <v>42651.123812560632</v>
      </c>
      <c r="CZ8" s="72">
        <f t="shared" ref="CZ8:DK8" si="11">SUM(CZ9:CZ10)</f>
        <v>47157.482911112107</v>
      </c>
      <c r="DA8" s="72">
        <f t="shared" si="11"/>
        <v>51663.842009663567</v>
      </c>
      <c r="DB8" s="72">
        <f t="shared" si="11"/>
        <v>58986.67554480971</v>
      </c>
      <c r="DC8" s="72">
        <f t="shared" si="11"/>
        <v>67436.098854593714</v>
      </c>
      <c r="DD8" s="72">
        <f t="shared" si="11"/>
        <v>74195.637502420926</v>
      </c>
      <c r="DE8" s="72">
        <f t="shared" si="11"/>
        <v>76448.817051696664</v>
      </c>
      <c r="DF8" s="72">
        <f t="shared" si="11"/>
        <v>29695.341404225153</v>
      </c>
      <c r="DG8" s="72">
        <f t="shared" si="11"/>
        <v>26762.45598386386</v>
      </c>
      <c r="DH8" s="72">
        <f t="shared" si="11"/>
        <v>31404.00585537187</v>
      </c>
      <c r="DI8" s="72">
        <f t="shared" si="11"/>
        <v>39526.718130510897</v>
      </c>
      <c r="DJ8" s="72">
        <f t="shared" si="11"/>
        <v>46489.042937772923</v>
      </c>
      <c r="DK8" s="72">
        <f t="shared" si="11"/>
        <v>45328.655469895915</v>
      </c>
      <c r="DL8" s="72">
        <f t="shared" ref="DL8:ED8" si="12">SUM(DL9:DL10)</f>
        <v>49970.205341403933</v>
      </c>
      <c r="DM8" s="72">
        <f t="shared" si="12"/>
        <v>54611.75521291195</v>
      </c>
      <c r="DN8" s="72">
        <f t="shared" si="12"/>
        <v>62154.273754112466</v>
      </c>
      <c r="DO8" s="72">
        <f t="shared" si="12"/>
        <v>70857.179763189997</v>
      </c>
      <c r="DP8" s="72">
        <f t="shared" si="12"/>
        <v>77819.504570452031</v>
      </c>
      <c r="DQ8" s="72">
        <f t="shared" si="12"/>
        <v>80140.279506206018</v>
      </c>
      <c r="DR8" s="72">
        <f t="shared" si="12"/>
        <v>31984.199589310374</v>
      </c>
      <c r="DS8" s="72">
        <f t="shared" si="12"/>
        <v>29102.713199056991</v>
      </c>
      <c r="DT8" s="72">
        <f t="shared" si="12"/>
        <v>33883.509566710243</v>
      </c>
      <c r="DU8" s="72">
        <f t="shared" si="12"/>
        <v>42249.903210103439</v>
      </c>
      <c r="DV8" s="72">
        <f t="shared" si="12"/>
        <v>49421.097761583325</v>
      </c>
      <c r="DW8" s="72">
        <f t="shared" si="12"/>
        <v>48225.898669670016</v>
      </c>
      <c r="DX8" s="72">
        <f t="shared" si="12"/>
        <v>53006.695037323268</v>
      </c>
      <c r="DY8" s="72">
        <f t="shared" si="12"/>
        <v>57787.491404976521</v>
      </c>
      <c r="DZ8" s="72">
        <f t="shared" si="12"/>
        <v>65556.285502413055</v>
      </c>
      <c r="EA8" s="72">
        <f t="shared" si="12"/>
        <v>74520.278691762913</v>
      </c>
      <c r="EB8" s="72">
        <f t="shared" si="12"/>
        <v>81691.473243242799</v>
      </c>
      <c r="EC8" s="72">
        <f t="shared" si="12"/>
        <v>84081.871427069418</v>
      </c>
      <c r="ED8" s="72">
        <f t="shared" si="12"/>
        <v>34481.109112666905</v>
      </c>
    </row>
    <row r="9" spans="2:134" s="60" customFormat="1" ht="12.6" customHeight="1">
      <c r="B9" s="137" t="s">
        <v>29</v>
      </c>
      <c r="C9" s="141">
        <f>'Переменные издержки проекта'!E9</f>
        <v>0</v>
      </c>
      <c r="D9" s="141">
        <f>'Переменные издержки проекта'!F9</f>
        <v>0</v>
      </c>
      <c r="E9" s="141">
        <f>'Переменные издержки проекта'!G9</f>
        <v>0</v>
      </c>
      <c r="F9" s="141">
        <f>'Переменные издержки проекта'!H9</f>
        <v>0</v>
      </c>
      <c r="G9" s="141">
        <f>'Переменные издержки проекта'!I9</f>
        <v>0</v>
      </c>
      <c r="H9" s="141">
        <f>'Переменные издержки проекта'!J9</f>
        <v>0</v>
      </c>
      <c r="I9" s="141">
        <f>'Переменные издержки проекта'!K9</f>
        <v>0</v>
      </c>
      <c r="J9" s="141">
        <f>'Переменные издержки проекта'!L9</f>
        <v>0</v>
      </c>
      <c r="K9" s="141">
        <f>'Переменные издержки проекта'!M9</f>
        <v>0</v>
      </c>
      <c r="L9" s="141">
        <f>'Переменные издержки проекта'!N9</f>
        <v>0</v>
      </c>
      <c r="M9" s="141">
        <f>'Переменные издержки проекта'!O9</f>
        <v>0</v>
      </c>
      <c r="N9" s="141">
        <f>'Переменные издержки проекта'!P9</f>
        <v>0</v>
      </c>
      <c r="O9" s="141">
        <f>'Переменные издержки проекта'!Q9</f>
        <v>0</v>
      </c>
      <c r="P9" s="141">
        <f>'Переменные издержки проекта'!R9</f>
        <v>0</v>
      </c>
      <c r="Q9" s="141">
        <f>'Переменные издержки проекта'!S9</f>
        <v>0</v>
      </c>
      <c r="R9" s="141">
        <f>'Переменные издержки проекта'!T9</f>
        <v>0</v>
      </c>
      <c r="S9" s="141">
        <f>'Переменные издержки проекта'!U9</f>
        <v>0</v>
      </c>
      <c r="T9" s="141">
        <f>'Переменные издержки проекта'!V9</f>
        <v>0</v>
      </c>
      <c r="U9" s="141">
        <f>'Переменные издержки проекта'!W9</f>
        <v>0</v>
      </c>
      <c r="V9" s="141">
        <f>'Переменные издержки проекта'!X9</f>
        <v>0</v>
      </c>
      <c r="W9" s="141">
        <f>'Переменные издержки проекта'!Y9</f>
        <v>0</v>
      </c>
      <c r="X9" s="141">
        <f>'Переменные издержки проекта'!Z9</f>
        <v>0</v>
      </c>
      <c r="Y9" s="141">
        <f>'Переменные издержки проекта'!AA9</f>
        <v>555</v>
      </c>
      <c r="Z9" s="141">
        <f>'Переменные издержки проекта'!AB9</f>
        <v>2559.9400500000002</v>
      </c>
      <c r="AA9" s="141">
        <f>'Переменные издержки проекта'!AC9</f>
        <v>1875.9016799999999</v>
      </c>
      <c r="AB9" s="141">
        <f>'Переменные издержки проекта'!AD9</f>
        <v>3951.6043199999999</v>
      </c>
      <c r="AC9" s="141">
        <f>'Переменные издержки проекта'!AE9</f>
        <v>9046.5108</v>
      </c>
      <c r="AD9" s="141">
        <f>'Переменные издержки проекта'!AF9</f>
        <v>15415.143899999999</v>
      </c>
      <c r="AE9" s="141">
        <f>'Переменные издержки проекта'!AG9</f>
        <v>15651.019199999999</v>
      </c>
      <c r="AF9" s="141">
        <f>'Переменные издержки проекта'!AH9</f>
        <v>18670.223040000001</v>
      </c>
      <c r="AG9" s="141">
        <f>'Переменные издержки проекта'!AI9</f>
        <v>21689.426880000003</v>
      </c>
      <c r="AH9" s="141">
        <f>'Переменные издержки проекта'!AJ9</f>
        <v>26595.633119999999</v>
      </c>
      <c r="AI9" s="141">
        <f>'Переменные издержки проекта'!AK9</f>
        <v>32256.640320000002</v>
      </c>
      <c r="AJ9" s="141">
        <f>'Переменные издержки проекта'!AL9</f>
        <v>36785.446080000002</v>
      </c>
      <c r="AK9" s="141">
        <f>'Переменные издержки проекта'!AM9</f>
        <v>38295.047999999995</v>
      </c>
      <c r="AL9" s="141">
        <f>'Переменные издержки проекта'!AN9</f>
        <v>9095.7602000000006</v>
      </c>
      <c r="AM9" s="141">
        <f>'Переменные издержки проекта'!AO9</f>
        <v>5070.824944</v>
      </c>
      <c r="AN9" s="141">
        <f>'Переменные издержки проекта'!AP9</f>
        <v>8958.0498879999996</v>
      </c>
      <c r="AO9" s="141">
        <f>'Переменные издержки проекта'!AQ9</f>
        <v>15760.69354</v>
      </c>
      <c r="AP9" s="141">
        <f>'Переменные издержки проекта'!AR9</f>
        <v>21591.530955999999</v>
      </c>
      <c r="AQ9" s="141">
        <f>'Переменные издержки проекта'!AS9</f>
        <v>20619.724719999998</v>
      </c>
      <c r="AR9" s="141">
        <f>'Переменные издержки проекта'!AT9</f>
        <v>24506.949664</v>
      </c>
      <c r="AS9" s="141">
        <f>'Переменные издержки проекта'!AU9</f>
        <v>28394.174608000005</v>
      </c>
      <c r="AT9" s="141">
        <f>'Переменные издержки проекта'!AV9</f>
        <v>34710.915141999998</v>
      </c>
      <c r="AU9" s="141">
        <f>'Переменные издержки проекта'!AW9</f>
        <v>41999.461911999999</v>
      </c>
      <c r="AV9" s="141">
        <f>'Переменные издержки проекта'!AX9</f>
        <v>47830.299328000001</v>
      </c>
      <c r="AW9" s="141">
        <f>'Переменные издержки проекта'!AY9</f>
        <v>49773.911800000002</v>
      </c>
      <c r="AX9" s="141">
        <f>'Переменные издержки проекта'!AZ9</f>
        <v>9443.9530060000016</v>
      </c>
      <c r="AY9" s="141">
        <f>'Переменные издержки проекта'!BA9</f>
        <v>5305.8016923200012</v>
      </c>
      <c r="AZ9" s="141">
        <f>'Переменные издержки проекта'!BB9</f>
        <v>9309.6433846400014</v>
      </c>
      <c r="BA9" s="141">
        <f>'Переменные издержки проекта'!BC9</f>
        <v>16316.366346200002</v>
      </c>
      <c r="BB9" s="141">
        <f>'Переменные издержки проекта'!BD9</f>
        <v>22322.128884679998</v>
      </c>
      <c r="BC9" s="141">
        <f>'Переменные издержки проекта'!BE9</f>
        <v>21321.168461599998</v>
      </c>
      <c r="BD9" s="141">
        <f>'Переменные издержки проекта'!BF9</f>
        <v>25325.01015392</v>
      </c>
      <c r="BE9" s="141">
        <f>'Переменные издержки проекта'!BG9</f>
        <v>29328.851846240002</v>
      </c>
      <c r="BF9" s="141">
        <f>'Переменные издержки проекта'!BH9</f>
        <v>35835.094596259994</v>
      </c>
      <c r="BG9" s="141">
        <f>'Переменные издержки проекта'!BI9</f>
        <v>43342.297769359997</v>
      </c>
      <c r="BH9" s="141">
        <f>'Переменные издержки проекта'!BJ9</f>
        <v>49348.060307840002</v>
      </c>
      <c r="BI9" s="141">
        <f>'Переменные издержки проекта'!BK9</f>
        <v>51349.981154000001</v>
      </c>
      <c r="BJ9" s="141">
        <f>'Переменные издержки проекта'!BL9</f>
        <v>9810.123596180003</v>
      </c>
      <c r="BK9" s="141">
        <f>'Переменные издержки проекта'!BM9</f>
        <v>5556.1129430895999</v>
      </c>
      <c r="BL9" s="141">
        <f>'Переменные издержки проекта'!BN9</f>
        <v>9680.0698861792007</v>
      </c>
      <c r="BM9" s="141">
        <f>'Переменные издержки проекта'!BO9</f>
        <v>16896.994536586</v>
      </c>
      <c r="BN9" s="141">
        <f>'Переменные издержки проекта'!BP9</f>
        <v>23082.929951220398</v>
      </c>
      <c r="BO9" s="141">
        <f>'Переменные издержки проекта'!BQ9</f>
        <v>22051.940715448003</v>
      </c>
      <c r="BP9" s="141">
        <f>'Переменные издержки проекта'!BR9</f>
        <v>26175.897658537604</v>
      </c>
      <c r="BQ9" s="141">
        <f>'Переменные издержки проекта'!BS9</f>
        <v>30299.854601627208</v>
      </c>
      <c r="BR9" s="141">
        <f>'Переменные издержки проекта'!BT9</f>
        <v>37001.284634147814</v>
      </c>
      <c r="BS9" s="141">
        <f>'Переменные издержки проекта'!BU9</f>
        <v>44733.7039024408</v>
      </c>
      <c r="BT9" s="141">
        <f>'Переменные издержки проекта'!BV9</f>
        <v>50919.639317075213</v>
      </c>
      <c r="BU9" s="141">
        <f>'Переменные издержки проекта'!BW9</f>
        <v>52981.617788620002</v>
      </c>
      <c r="BV9" s="141">
        <f>'Переменные издержки проекта'!BX9</f>
        <v>10195.564504065404</v>
      </c>
      <c r="BW9" s="141">
        <f>'Переменные издержки проекта'!BY9</f>
        <v>5823.0472513822888</v>
      </c>
      <c r="BX9" s="141">
        <f>'Переменные издержки проекта'!BZ9</f>
        <v>10070.722902764577</v>
      </c>
      <c r="BY9" s="141">
        <f>'Переменные издержки проекта'!CA9</f>
        <v>17504.155292683583</v>
      </c>
      <c r="BZ9" s="141">
        <f>'Переменные издержки проекта'!CB9</f>
        <v>23875.668769757016</v>
      </c>
      <c r="CA9" s="141">
        <f>'Переменные издержки проекта'!CC9</f>
        <v>22813.749856911447</v>
      </c>
      <c r="CB9" s="141">
        <f>'Переменные издержки проекта'!CD9</f>
        <v>27061.425508293731</v>
      </c>
      <c r="CC9" s="141">
        <f>'Переменные издержки проекта'!CE9</f>
        <v>31309.101159676029</v>
      </c>
      <c r="CD9" s="141">
        <f>'Переменные издержки проекта'!CF9</f>
        <v>38211.574093172239</v>
      </c>
      <c r="CE9" s="141">
        <f>'Переменные издержки проекта'!CG9</f>
        <v>46175.965939514026</v>
      </c>
      <c r="CF9" s="141">
        <f>'Переменные издержки проекта'!CH9</f>
        <v>52547.479416587463</v>
      </c>
      <c r="CG9" s="141">
        <f>'Переменные издержки проекта'!CI9</f>
        <v>54671.317242278608</v>
      </c>
      <c r="CH9" s="141">
        <f>'Переменные издержки проекта'!CJ9</f>
        <v>10601.682359187365</v>
      </c>
      <c r="CI9" s="141">
        <f>'Переменные издержки проекта'!CK9</f>
        <v>6108.0146809237576</v>
      </c>
      <c r="CJ9" s="141">
        <f>'Переменные издержки проекта'!CL9</f>
        <v>10483.120601847515</v>
      </c>
      <c r="CK9" s="141">
        <f>'Переменные издержки проекта'!CM9</f>
        <v>18139.555963464089</v>
      </c>
      <c r="CL9" s="141">
        <f>'Переменные издержки проекта'!CN9</f>
        <v>24702.214844849725</v>
      </c>
      <c r="CM9" s="141">
        <f>'Переменные издержки проекта'!CO9</f>
        <v>23608.438364618793</v>
      </c>
      <c r="CN9" s="141">
        <f>'Переменные издержки проекта'!CP9</f>
        <v>27983.54428554255</v>
      </c>
      <c r="CO9" s="141">
        <f>'Переменные издержки проекта'!CQ9</f>
        <v>32358.650206466307</v>
      </c>
      <c r="CP9" s="141">
        <f>'Переменные издержки проекта'!CR9</f>
        <v>39468.197327967406</v>
      </c>
      <c r="CQ9" s="141">
        <f>'Переменные издержки проекта'!CS9</f>
        <v>47671.520929699451</v>
      </c>
      <c r="CR9" s="141">
        <f>'Переменные издержки проекта'!CT9</f>
        <v>54234.179811085094</v>
      </c>
      <c r="CS9" s="141">
        <f>'Переменные издержки проекта'!CU9</f>
        <v>56421.732771546973</v>
      </c>
      <c r="CT9" s="141">
        <f>'Переменные издержки проекта'!CV9</f>
        <v>11030.008841962986</v>
      </c>
      <c r="CU9" s="141">
        <f>'Переменные издержки проекта'!CW9</f>
        <v>6412.5587345514714</v>
      </c>
      <c r="CV9" s="141">
        <f>'Переменные издержки проекта'!CX9</f>
        <v>10918.917833102942</v>
      </c>
      <c r="CW9" s="141">
        <f>'Переменные издержки проекта'!CY9</f>
        <v>18805.046255568017</v>
      </c>
      <c r="CX9" s="141">
        <f>'Переменные издержки проекта'!CZ9</f>
        <v>25564.584903395222</v>
      </c>
      <c r="CY9" s="141">
        <f>'Переменные издержки проекта'!DA9</f>
        <v>24437.995128757357</v>
      </c>
      <c r="CZ9" s="141">
        <f>'Переменные издержки проекта'!DB9</f>
        <v>28944.354227308824</v>
      </c>
      <c r="DA9" s="141">
        <f>'Переменные издержки проекта'!DC9</f>
        <v>33450.713325860292</v>
      </c>
      <c r="DB9" s="141">
        <f>'Переменные издержки проекта'!DD9</f>
        <v>40773.546861006427</v>
      </c>
      <c r="DC9" s="141">
        <f>'Переменные издержки проекта'!DE9</f>
        <v>49222.970170790439</v>
      </c>
      <c r="DD9" s="141">
        <f>'Переменные издержки проекта'!DF9</f>
        <v>55982.508818617644</v>
      </c>
      <c r="DE9" s="141">
        <f>'Переменные издержки проекта'!DG9</f>
        <v>58235.688367893381</v>
      </c>
      <c r="DF9" s="141">
        <f>'Переменные издержки проекта'!DH9</f>
        <v>11482.212720421876</v>
      </c>
      <c r="DG9" s="141">
        <f>'Переменные издержки проекта'!DI9</f>
        <v>6738.3694711080152</v>
      </c>
      <c r="DH9" s="141">
        <f>'Переменные издержки проекта'!DJ9</f>
        <v>11379.919342616029</v>
      </c>
      <c r="DI9" s="141">
        <f>'Переменные издержки проекта'!DK9</f>
        <v>19502.631617755054</v>
      </c>
      <c r="DJ9" s="141">
        <f>'Переменные издержки проекта'!DL9</f>
        <v>26464.956425017081</v>
      </c>
      <c r="DK9" s="141">
        <f>'Переменные издержки проекта'!DM9</f>
        <v>25304.568957140073</v>
      </c>
      <c r="DL9" s="141">
        <f>'Переменные издержки проекта'!DN9</f>
        <v>29946.11882864809</v>
      </c>
      <c r="DM9" s="141">
        <f>'Переменные издержки проекта'!DO9</f>
        <v>34587.668700156108</v>
      </c>
      <c r="DN9" s="141">
        <f>'Переменные издержки проекта'!DP9</f>
        <v>42130.187241356623</v>
      </c>
      <c r="DO9" s="141">
        <f>'Переменные издержки проекта'!DQ9</f>
        <v>50833.093250434154</v>
      </c>
      <c r="DP9" s="141">
        <f>'Переменные издержки проекта'!DR9</f>
        <v>57795.418057696181</v>
      </c>
      <c r="DQ9" s="141">
        <f>'Переменные издержки проекта'!DS9</f>
        <v>60116.192993450182</v>
      </c>
      <c r="DR9" s="141">
        <f>'Переменные издержки проекта'!DT9</f>
        <v>11960.113076554533</v>
      </c>
      <c r="DS9" s="141">
        <f>'Переменные издержки проекта'!DU9</f>
        <v>7087.2979272132561</v>
      </c>
      <c r="DT9" s="141">
        <f>'Переменные издержки проекта'!DV9</f>
        <v>11868.094294866512</v>
      </c>
      <c r="DU9" s="141">
        <f>'Переменные издержки проекта'!DW9</f>
        <v>20234.487938259706</v>
      </c>
      <c r="DV9" s="141">
        <f>'Переменные издержки проекта'!DX9</f>
        <v>27405.682489739593</v>
      </c>
      <c r="DW9" s="141">
        <f>'Переменные издержки проекта'!DY9</f>
        <v>26210.48339782628</v>
      </c>
      <c r="DX9" s="141">
        <f>'Переменные издержки проекта'!DZ9</f>
        <v>30991.279765479536</v>
      </c>
      <c r="DY9" s="141">
        <f>'Переменные издержки проекта'!EA9</f>
        <v>35772.076133132789</v>
      </c>
      <c r="DZ9" s="141">
        <f>'Переменные издержки проекта'!EB9</f>
        <v>43540.870230569322</v>
      </c>
      <c r="EA9" s="141">
        <f>'Переменные издержки проекта'!EC9</f>
        <v>52504.86341991918</v>
      </c>
      <c r="EB9" s="141">
        <f>'Переменные издержки проекта'!ED9</f>
        <v>59676.057971399066</v>
      </c>
      <c r="EC9" s="141">
        <f>'Переменные издержки проекта'!EE9</f>
        <v>62066.456155225693</v>
      </c>
      <c r="ED9" s="141">
        <f>'Переменные издержки проекта'!EF9</f>
        <v>12465.693840823169</v>
      </c>
    </row>
    <row r="10" spans="2:134" s="60" customFormat="1" ht="12.6" customHeight="1">
      <c r="B10" s="137" t="s">
        <v>30</v>
      </c>
      <c r="C10" s="141">
        <f>'Постоянные издержки проекта'!E16</f>
        <v>0</v>
      </c>
      <c r="D10" s="141">
        <f>'Постоянные издержки проекта'!F16</f>
        <v>0</v>
      </c>
      <c r="E10" s="141">
        <f>'Постоянные издержки проекта'!G16</f>
        <v>0</v>
      </c>
      <c r="F10" s="141">
        <f>'Постоянные издержки проекта'!H16</f>
        <v>0</v>
      </c>
      <c r="G10" s="141">
        <f>'Постоянные издержки проекта'!I16</f>
        <v>0</v>
      </c>
      <c r="H10" s="141">
        <f>'Постоянные издержки проекта'!J16</f>
        <v>0</v>
      </c>
      <c r="I10" s="141">
        <f>'Постоянные издержки проекта'!K16</f>
        <v>0</v>
      </c>
      <c r="J10" s="141">
        <f>'Постоянные издержки проекта'!L16</f>
        <v>0</v>
      </c>
      <c r="K10" s="141">
        <f>'Постоянные издержки проекта'!M16</f>
        <v>0</v>
      </c>
      <c r="L10" s="141">
        <f>'Постоянные издержки проекта'!N16</f>
        <v>0</v>
      </c>
      <c r="M10" s="141">
        <f>'Постоянные издержки проекта'!O16</f>
        <v>0</v>
      </c>
      <c r="N10" s="141">
        <f>'Постоянные издержки проекта'!P16</f>
        <v>0</v>
      </c>
      <c r="O10" s="141">
        <f>'Постоянные издержки проекта'!Q16</f>
        <v>0</v>
      </c>
      <c r="P10" s="141">
        <f>'Постоянные издержки проекта'!R16</f>
        <v>0</v>
      </c>
      <c r="Q10" s="141">
        <f>'Постоянные издержки проекта'!S16</f>
        <v>0</v>
      </c>
      <c r="R10" s="141">
        <f>'Постоянные издержки проекта'!T16</f>
        <v>0</v>
      </c>
      <c r="S10" s="141">
        <f>'Постоянные издержки проекта'!U16</f>
        <v>0</v>
      </c>
      <c r="T10" s="141">
        <f>'Постоянные издержки проекта'!V16</f>
        <v>0</v>
      </c>
      <c r="U10" s="141">
        <f>'Постоянные издержки проекта'!W16</f>
        <v>0</v>
      </c>
      <c r="V10" s="141">
        <f>'Постоянные издержки проекта'!X16</f>
        <v>0</v>
      </c>
      <c r="W10" s="141">
        <f>'Постоянные издержки проекта'!Y16</f>
        <v>0</v>
      </c>
      <c r="X10" s="141">
        <f>'Постоянные издержки проекта'!Z16</f>
        <v>0</v>
      </c>
      <c r="Y10" s="141">
        <f>'Постоянные издержки проекта'!AA16</f>
        <v>1604</v>
      </c>
      <c r="Z10" s="141">
        <f>'Постоянные издержки проекта'!AB16</f>
        <v>10200.998</v>
      </c>
      <c r="AA10" s="141">
        <f>'Постоянные издержки проекта'!AC16</f>
        <v>10200.998</v>
      </c>
      <c r="AB10" s="141">
        <f>'Постоянные издержки проекта'!AD16</f>
        <v>10200.998</v>
      </c>
      <c r="AC10" s="141">
        <f>'Постоянные издержки проекта'!AE16</f>
        <v>10200.998</v>
      </c>
      <c r="AD10" s="141">
        <f>'Постоянные издержки проекта'!AF16</f>
        <v>10200.998</v>
      </c>
      <c r="AE10" s="141">
        <f>'Постоянные издержки проекта'!AG16</f>
        <v>10200.998</v>
      </c>
      <c r="AF10" s="141">
        <f>'Постоянные издержки проекта'!AH16</f>
        <v>10200.998</v>
      </c>
      <c r="AG10" s="141">
        <f>'Постоянные издержки проекта'!AI16</f>
        <v>10200.998</v>
      </c>
      <c r="AH10" s="141">
        <f>'Постоянные издержки проекта'!AJ16</f>
        <v>10200.998</v>
      </c>
      <c r="AI10" s="141">
        <f>'Постоянные издержки проекта'!AK16</f>
        <v>10200.998</v>
      </c>
      <c r="AJ10" s="141">
        <f>'Постоянные издержки проекта'!AL16</f>
        <v>10200.998</v>
      </c>
      <c r="AK10" s="141">
        <f>'Постоянные издержки проекта'!AM16</f>
        <v>10315.998</v>
      </c>
      <c r="AL10" s="141">
        <f>'Постоянные издержки проекта'!AN16</f>
        <v>10315.998</v>
      </c>
      <c r="AM10" s="141">
        <f>'Постоянные издержки проекта'!AO16</f>
        <v>11340.6978</v>
      </c>
      <c r="AN10" s="141">
        <f>'Постоянные издержки проекта'!AP16</f>
        <v>11340.6978</v>
      </c>
      <c r="AO10" s="141">
        <f>'Постоянные издержки проекта'!AQ16</f>
        <v>11340.6978</v>
      </c>
      <c r="AP10" s="141">
        <f>'Постоянные издержки проекта'!AR16</f>
        <v>11340.6978</v>
      </c>
      <c r="AQ10" s="141">
        <f>'Постоянные издержки проекта'!AS16</f>
        <v>11340.6978</v>
      </c>
      <c r="AR10" s="141">
        <f>'Постоянные издержки проекта'!AT16</f>
        <v>11340.6978</v>
      </c>
      <c r="AS10" s="141">
        <f>'Постоянные издержки проекта'!AU16</f>
        <v>11340.6978</v>
      </c>
      <c r="AT10" s="141">
        <f>'Постоянные издержки проекта'!AV16</f>
        <v>11340.6978</v>
      </c>
      <c r="AU10" s="141">
        <f>'Постоянные издержки проекта'!AW16</f>
        <v>11340.6978</v>
      </c>
      <c r="AV10" s="141">
        <f>'Постоянные издержки проекта'!AX16</f>
        <v>11340.6978</v>
      </c>
      <c r="AW10" s="141">
        <f>'Постоянные издержки проекта'!AY16</f>
        <v>11340.6978</v>
      </c>
      <c r="AX10" s="141">
        <f>'Постоянные издержки проекта'!AZ16</f>
        <v>11340.6978</v>
      </c>
      <c r="AY10" s="141">
        <f>'Постоянные издержки проекта'!BA16</f>
        <v>12467.38458</v>
      </c>
      <c r="AZ10" s="141">
        <f>'Постоянные издержки проекта'!BB16</f>
        <v>12467.38458</v>
      </c>
      <c r="BA10" s="141">
        <f>'Постоянные издержки проекта'!BC16</f>
        <v>12467.38458</v>
      </c>
      <c r="BB10" s="141">
        <f>'Постоянные издержки проекта'!BD16</f>
        <v>12467.38458</v>
      </c>
      <c r="BC10" s="141">
        <f>'Постоянные издержки проекта'!BE16</f>
        <v>12467.38458</v>
      </c>
      <c r="BD10" s="141">
        <f>'Постоянные издержки проекта'!BF16</f>
        <v>12467.38458</v>
      </c>
      <c r="BE10" s="141">
        <f>'Постоянные издержки проекта'!BG16</f>
        <v>12467.38458</v>
      </c>
      <c r="BF10" s="141">
        <f>'Постоянные издержки проекта'!BH16</f>
        <v>12467.38458</v>
      </c>
      <c r="BG10" s="141">
        <f>'Постоянные издержки проекта'!BI16</f>
        <v>12467.38458</v>
      </c>
      <c r="BH10" s="141">
        <f>'Постоянные издержки проекта'!BJ16</f>
        <v>12467.38458</v>
      </c>
      <c r="BI10" s="141">
        <f>'Постоянные издержки проекта'!BK16</f>
        <v>12467.38458</v>
      </c>
      <c r="BJ10" s="141">
        <f>'Постоянные издержки проекта'!BL16</f>
        <v>12467.38458</v>
      </c>
      <c r="BK10" s="141">
        <f>'Постоянные издержки проекта'!BM16</f>
        <v>13706.223228000001</v>
      </c>
      <c r="BL10" s="141">
        <f>'Постоянные издержки проекта'!BN16</f>
        <v>13706.223228000001</v>
      </c>
      <c r="BM10" s="141">
        <f>'Постоянные издержки проекта'!BO16</f>
        <v>13706.223228000001</v>
      </c>
      <c r="BN10" s="141">
        <f>'Постоянные издержки проекта'!BP16</f>
        <v>13706.223228000001</v>
      </c>
      <c r="BO10" s="141">
        <f>'Постоянные издержки проекта'!BQ16</f>
        <v>13706.223228000001</v>
      </c>
      <c r="BP10" s="141">
        <f>'Постоянные издержки проекта'!BR16</f>
        <v>13706.223228000001</v>
      </c>
      <c r="BQ10" s="141">
        <f>'Постоянные издержки проекта'!BS16</f>
        <v>13706.223228000001</v>
      </c>
      <c r="BR10" s="141">
        <f>'Постоянные издержки проекта'!BT16</f>
        <v>13706.223228000001</v>
      </c>
      <c r="BS10" s="141">
        <f>'Постоянные издержки проекта'!BU16</f>
        <v>13706.223228000001</v>
      </c>
      <c r="BT10" s="141">
        <f>'Постоянные издержки проекта'!BV16</f>
        <v>13706.223228000001</v>
      </c>
      <c r="BU10" s="141">
        <f>'Постоянные издержки проекта'!BW16</f>
        <v>13706.223228000001</v>
      </c>
      <c r="BV10" s="141">
        <f>'Постоянные издержки проекта'!BX16</f>
        <v>13706.223228000001</v>
      </c>
      <c r="BW10" s="141">
        <f>'Постоянные издержки проекта'!BY16</f>
        <v>15068.392754100001</v>
      </c>
      <c r="BX10" s="141">
        <f>'Постоянные издержки проекта'!BZ16</f>
        <v>15068.392754100001</v>
      </c>
      <c r="BY10" s="141">
        <f>'Постоянные издержки проекта'!CA16</f>
        <v>15068.392754100001</v>
      </c>
      <c r="BZ10" s="141">
        <f>'Постоянные издержки проекта'!CB16</f>
        <v>15068.392754100001</v>
      </c>
      <c r="CA10" s="141">
        <f>'Постоянные издержки проекта'!CC16</f>
        <v>15068.392754100001</v>
      </c>
      <c r="CB10" s="141">
        <f>'Постоянные издержки проекта'!CD16</f>
        <v>15068.392754100001</v>
      </c>
      <c r="CC10" s="141">
        <f>'Постоянные издержки проекта'!CE16</f>
        <v>15068.392754100001</v>
      </c>
      <c r="CD10" s="141">
        <f>'Постоянные издержки проекта'!CF16</f>
        <v>15068.392754100001</v>
      </c>
      <c r="CE10" s="141">
        <f>'Постоянные издержки проекта'!CG16</f>
        <v>15068.392754100001</v>
      </c>
      <c r="CF10" s="141">
        <f>'Постоянные издержки проекта'!CH16</f>
        <v>15068.392754100001</v>
      </c>
      <c r="CG10" s="141">
        <f>'Постоянные издержки проекта'!CI16</f>
        <v>15068.392754100001</v>
      </c>
      <c r="CH10" s="141">
        <f>'Постоянные издержки проекта'!CJ16</f>
        <v>15068.392754100001</v>
      </c>
      <c r="CI10" s="141">
        <f>'Постоянные издержки проекта'!CK16</f>
        <v>16566.187537040998</v>
      </c>
      <c r="CJ10" s="141">
        <f>'Постоянные издержки проекта'!CL16</f>
        <v>16566.187537040998</v>
      </c>
      <c r="CK10" s="141">
        <f>'Постоянные издержки проекта'!CM16</f>
        <v>16566.187537040998</v>
      </c>
      <c r="CL10" s="141">
        <f>'Постоянные издержки проекта'!CN16</f>
        <v>16566.187537040998</v>
      </c>
      <c r="CM10" s="141">
        <f>'Постоянные издержки проекта'!CO16</f>
        <v>16566.187537040998</v>
      </c>
      <c r="CN10" s="141">
        <f>'Постоянные издержки проекта'!CP16</f>
        <v>16566.187537040998</v>
      </c>
      <c r="CO10" s="141">
        <f>'Постоянные издержки проекта'!CQ16</f>
        <v>16566.187537040998</v>
      </c>
      <c r="CP10" s="141">
        <f>'Постоянные издержки проекта'!CR16</f>
        <v>16566.187537040998</v>
      </c>
      <c r="CQ10" s="141">
        <f>'Постоянные издержки проекта'!CS16</f>
        <v>16566.187537040998</v>
      </c>
      <c r="CR10" s="141">
        <f>'Постоянные издержки проекта'!CT16</f>
        <v>16566.187537040998</v>
      </c>
      <c r="CS10" s="141">
        <f>'Постоянные издержки проекта'!CU16</f>
        <v>16566.187537040998</v>
      </c>
      <c r="CT10" s="141">
        <f>'Постоянные издержки проекта'!CV16</f>
        <v>16566.187537040998</v>
      </c>
      <c r="CU10" s="141">
        <f>'Постоянные издержки проекта'!CW16</f>
        <v>18213.128683803279</v>
      </c>
      <c r="CV10" s="141">
        <f>'Постоянные издержки проекта'!CX16</f>
        <v>18213.128683803279</v>
      </c>
      <c r="CW10" s="141">
        <f>'Постоянные издержки проекта'!CY16</f>
        <v>18213.128683803279</v>
      </c>
      <c r="CX10" s="141">
        <f>'Постоянные издержки проекта'!CZ16</f>
        <v>18213.128683803279</v>
      </c>
      <c r="CY10" s="141">
        <f>'Постоянные издержки проекта'!DA16</f>
        <v>18213.128683803279</v>
      </c>
      <c r="CZ10" s="141">
        <f>'Постоянные издержки проекта'!DB16</f>
        <v>18213.128683803279</v>
      </c>
      <c r="DA10" s="141">
        <f>'Постоянные издержки проекта'!DC16</f>
        <v>18213.128683803279</v>
      </c>
      <c r="DB10" s="141">
        <f>'Постоянные издержки проекта'!DD16</f>
        <v>18213.128683803279</v>
      </c>
      <c r="DC10" s="141">
        <f>'Постоянные издержки проекта'!DE16</f>
        <v>18213.128683803279</v>
      </c>
      <c r="DD10" s="141">
        <f>'Постоянные издержки проекта'!DF16</f>
        <v>18213.128683803279</v>
      </c>
      <c r="DE10" s="141">
        <f>'Постоянные издержки проекта'!DG16</f>
        <v>18213.128683803279</v>
      </c>
      <c r="DF10" s="141">
        <f>'Постоянные издержки проекта'!DH16</f>
        <v>18213.128683803279</v>
      </c>
      <c r="DG10" s="141">
        <f>'Постоянные издержки проекта'!DI16</f>
        <v>20024.086512755843</v>
      </c>
      <c r="DH10" s="141">
        <f>'Постоянные издержки проекта'!DJ16</f>
        <v>20024.086512755843</v>
      </c>
      <c r="DI10" s="141">
        <f>'Постоянные издержки проекта'!DK16</f>
        <v>20024.086512755843</v>
      </c>
      <c r="DJ10" s="141">
        <f>'Постоянные издержки проекта'!DL16</f>
        <v>20024.086512755843</v>
      </c>
      <c r="DK10" s="141">
        <f>'Постоянные издержки проекта'!DM16</f>
        <v>20024.086512755843</v>
      </c>
      <c r="DL10" s="141">
        <f>'Постоянные издержки проекта'!DN16</f>
        <v>20024.086512755843</v>
      </c>
      <c r="DM10" s="141">
        <f>'Постоянные издержки проекта'!DO16</f>
        <v>20024.086512755843</v>
      </c>
      <c r="DN10" s="141">
        <f>'Постоянные издержки проекта'!DP16</f>
        <v>20024.086512755843</v>
      </c>
      <c r="DO10" s="141">
        <f>'Постоянные издержки проекта'!DQ16</f>
        <v>20024.086512755843</v>
      </c>
      <c r="DP10" s="141">
        <f>'Постоянные издержки проекта'!DR16</f>
        <v>20024.086512755843</v>
      </c>
      <c r="DQ10" s="141">
        <f>'Постоянные издержки проекта'!DS16</f>
        <v>20024.086512755843</v>
      </c>
      <c r="DR10" s="141">
        <f>'Постоянные издержки проекта'!DT16</f>
        <v>20024.086512755843</v>
      </c>
      <c r="DS10" s="141">
        <f>'Постоянные издержки проекта'!DU16</f>
        <v>22015.415271843733</v>
      </c>
      <c r="DT10" s="141">
        <f>'Постоянные издержки проекта'!DV16</f>
        <v>22015.415271843733</v>
      </c>
      <c r="DU10" s="141">
        <f>'Постоянные издержки проекта'!DW16</f>
        <v>22015.415271843733</v>
      </c>
      <c r="DV10" s="141">
        <f>'Постоянные издержки проекта'!DX16</f>
        <v>22015.415271843733</v>
      </c>
      <c r="DW10" s="141">
        <f>'Постоянные издержки проекта'!DY16</f>
        <v>22015.415271843733</v>
      </c>
      <c r="DX10" s="141">
        <f>'Постоянные издержки проекта'!DZ16</f>
        <v>22015.415271843733</v>
      </c>
      <c r="DY10" s="141">
        <f>'Постоянные издержки проекта'!EA16</f>
        <v>22015.415271843733</v>
      </c>
      <c r="DZ10" s="141">
        <f>'Постоянные издержки проекта'!EB16</f>
        <v>22015.415271843733</v>
      </c>
      <c r="EA10" s="141">
        <f>'Постоянные издержки проекта'!EC16</f>
        <v>22015.415271843733</v>
      </c>
      <c r="EB10" s="141">
        <f>'Постоянные издержки проекта'!ED16</f>
        <v>22015.415271843733</v>
      </c>
      <c r="EC10" s="141">
        <f>'Постоянные издержки проекта'!EE16</f>
        <v>22015.415271843733</v>
      </c>
      <c r="ED10" s="141">
        <f>'Постоянные издержки проекта'!EF16</f>
        <v>22015.415271843733</v>
      </c>
    </row>
    <row r="11" spans="2:134" s="60" customFormat="1" ht="12.6" customHeight="1">
      <c r="B11" s="136" t="s">
        <v>53</v>
      </c>
      <c r="C11" s="72">
        <f>Налоги!B13</f>
        <v>0</v>
      </c>
      <c r="D11" s="72">
        <f>Налоги!C13</f>
        <v>0</v>
      </c>
      <c r="E11" s="72">
        <f>Налоги!D13</f>
        <v>0</v>
      </c>
      <c r="F11" s="72">
        <f>Налоги!E13</f>
        <v>0</v>
      </c>
      <c r="G11" s="72">
        <f>Налоги!F13</f>
        <v>0</v>
      </c>
      <c r="H11" s="72">
        <f>Налоги!G13</f>
        <v>0</v>
      </c>
      <c r="I11" s="72">
        <f>Налоги!H13</f>
        <v>0</v>
      </c>
      <c r="J11" s="72">
        <f>Налоги!I13</f>
        <v>0</v>
      </c>
      <c r="K11" s="72">
        <f>Налоги!J13</f>
        <v>0</v>
      </c>
      <c r="L11" s="72">
        <f>Налоги!K13</f>
        <v>0</v>
      </c>
      <c r="M11" s="72">
        <f>Налоги!L13</f>
        <v>0</v>
      </c>
      <c r="N11" s="72">
        <f>Налоги!M13</f>
        <v>74.125222912499993</v>
      </c>
      <c r="O11" s="72">
        <f>Налоги!N13</f>
        <v>0</v>
      </c>
      <c r="P11" s="72">
        <f>Налоги!O13</f>
        <v>0</v>
      </c>
      <c r="Q11" s="72">
        <f>Налоги!P13</f>
        <v>74.125222912499993</v>
      </c>
      <c r="R11" s="72">
        <f>Налоги!Q13</f>
        <v>0</v>
      </c>
      <c r="S11" s="72">
        <f>Налоги!R13</f>
        <v>0</v>
      </c>
      <c r="T11" s="72">
        <f>Налоги!S13</f>
        <v>74.125222912499993</v>
      </c>
      <c r="U11" s="72">
        <f>Налоги!T13</f>
        <v>0</v>
      </c>
      <c r="V11" s="72">
        <f>Налоги!U13</f>
        <v>0</v>
      </c>
      <c r="W11" s="72">
        <f>Налоги!V13</f>
        <v>74.125222912499993</v>
      </c>
      <c r="X11" s="72">
        <f>Налоги!W13</f>
        <v>0</v>
      </c>
      <c r="Y11" s="72">
        <f>Налоги!X13</f>
        <v>557.49199999999996</v>
      </c>
      <c r="Z11" s="72">
        <f>Налоги!Y13</f>
        <v>631.61722291249998</v>
      </c>
      <c r="AA11" s="72">
        <f>Налоги!Z13</f>
        <v>557.49199999999996</v>
      </c>
      <c r="AB11" s="72">
        <f>Налоги!AA13</f>
        <v>557.49199999999996</v>
      </c>
      <c r="AC11" s="72">
        <f>Налоги!AB13</f>
        <v>631.61722291249998</v>
      </c>
      <c r="AD11" s="72">
        <f>Налоги!AC13</f>
        <v>557.49199999999996</v>
      </c>
      <c r="AE11" s="72">
        <f>Налоги!AD13</f>
        <v>2449.7054662347209</v>
      </c>
      <c r="AF11" s="72">
        <f>Налоги!AE13</f>
        <v>2523.8306891472207</v>
      </c>
      <c r="AG11" s="72">
        <f>Налоги!AF13</f>
        <v>2449.7054662347209</v>
      </c>
      <c r="AH11" s="72">
        <f>Налоги!AG13</f>
        <v>2449.7054662347209</v>
      </c>
      <c r="AI11" s="72">
        <f>Налоги!AH13</f>
        <v>2523.8306891472207</v>
      </c>
      <c r="AJ11" s="72">
        <f>Налоги!AI13</f>
        <v>2449.7054662347209</v>
      </c>
      <c r="AK11" s="72">
        <f>Налоги!AJ13</f>
        <v>2449.7054662347209</v>
      </c>
      <c r="AL11" s="72">
        <f>Налоги!AK13</f>
        <v>2681.1726891472208</v>
      </c>
      <c r="AM11" s="72">
        <f>Налоги!AL13</f>
        <v>2769.5081372850304</v>
      </c>
      <c r="AN11" s="72">
        <f>Налоги!AM13</f>
        <v>2769.5081372850304</v>
      </c>
      <c r="AO11" s="72">
        <f>Налоги!AN13</f>
        <v>2843.6333601975302</v>
      </c>
      <c r="AP11" s="72">
        <f>Налоги!AO13</f>
        <v>2769.5081372850304</v>
      </c>
      <c r="AQ11" s="72">
        <f>Налоги!AP13</f>
        <v>2769.5081372850304</v>
      </c>
      <c r="AR11" s="72">
        <f>Налоги!AQ13</f>
        <v>2843.6333601975302</v>
      </c>
      <c r="AS11" s="72">
        <f>Налоги!AR13</f>
        <v>2769.5081372850304</v>
      </c>
      <c r="AT11" s="72">
        <f>Налоги!AS13</f>
        <v>2769.5081372850304</v>
      </c>
      <c r="AU11" s="72">
        <f>Налоги!AT13</f>
        <v>2843.6333601975302</v>
      </c>
      <c r="AV11" s="72">
        <f>Налоги!AU13</f>
        <v>5991.8450252850298</v>
      </c>
      <c r="AW11" s="72">
        <f>Налоги!AV13</f>
        <v>10515.918870618361</v>
      </c>
      <c r="AX11" s="72">
        <f>Налоги!AW13</f>
        <v>2843.6333601975302</v>
      </c>
      <c r="AY11" s="72">
        <f>Налоги!AX13</f>
        <v>2666.7605602111271</v>
      </c>
      <c r="AZ11" s="72">
        <f>Налоги!AY13</f>
        <v>2666.7605602111271</v>
      </c>
      <c r="BA11" s="72">
        <f>Налоги!AZ13</f>
        <v>2949.9628945969594</v>
      </c>
      <c r="BB11" s="72">
        <f>Налоги!BA13</f>
        <v>5162.572305097794</v>
      </c>
      <c r="BC11" s="72">
        <f>Налоги!BB13</f>
        <v>4961.9362332777946</v>
      </c>
      <c r="BD11" s="72">
        <f>Налоги!BC13</f>
        <v>3997.8434210480705</v>
      </c>
      <c r="BE11" s="72">
        <f>Налоги!BD13</f>
        <v>4726.2624854155711</v>
      </c>
      <c r="BF11" s="72">
        <f>Налоги!BE13</f>
        <v>6030.3969522455682</v>
      </c>
      <c r="BG11" s="72">
        <f>Налоги!BF13</f>
        <v>7609.2927138080704</v>
      </c>
      <c r="BH11" s="72">
        <f>Налоги!BG13</f>
        <v>8738.9839218155703</v>
      </c>
      <c r="BI11" s="72">
        <f>Налоги!BH13</f>
        <v>10981.018387877795</v>
      </c>
      <c r="BJ11" s="72">
        <f>Налоги!BI13</f>
        <v>2740.8857831236269</v>
      </c>
      <c r="BK11" s="72">
        <f>Налоги!BJ13</f>
        <v>2729.5527716518923</v>
      </c>
      <c r="BL11" s="72">
        <f>Налоги!BK13</f>
        <v>2729.5527716518923</v>
      </c>
      <c r="BM11" s="72">
        <f>Налоги!BL13</f>
        <v>3205.7068018752602</v>
      </c>
      <c r="BN11" s="72">
        <f>Налоги!BM13</f>
        <v>5435.6616802318285</v>
      </c>
      <c r="BO11" s="72">
        <f>Налоги!BN13</f>
        <v>5221.6572700772258</v>
      </c>
      <c r="BP11" s="72">
        <f>Налоги!BO13</f>
        <v>6151.8001336081261</v>
      </c>
      <c r="BQ11" s="72">
        <f>Налоги!BP13</f>
        <v>6933.6925513140286</v>
      </c>
      <c r="BR11" s="72">
        <f>Налоги!BQ13</f>
        <v>8324.7212173189237</v>
      </c>
      <c r="BS11" s="72">
        <f>Налоги!BR13</f>
        <v>10003.879516390931</v>
      </c>
      <c r="BT11" s="72">
        <f>Налоги!BS13</f>
        <v>11213.780754406027</v>
      </c>
      <c r="BU11" s="72">
        <f>Налоги!BT13</f>
        <v>11641.789574715229</v>
      </c>
      <c r="BV11" s="72">
        <f>Налоги!BU13</f>
        <v>2834.7317762118259</v>
      </c>
      <c r="BW11" s="72">
        <f>Налоги!BV13</f>
        <v>2918.5604898602132</v>
      </c>
      <c r="BX11" s="72">
        <f>Налоги!BW13</f>
        <v>2918.5604898602132</v>
      </c>
      <c r="BY11" s="72">
        <f>Налоги!BX13</f>
        <v>3224.8799448251389</v>
      </c>
      <c r="BZ11" s="72">
        <f>Налоги!BY13</f>
        <v>5733.6537045898804</v>
      </c>
      <c r="CA11" s="72">
        <f>Налоги!BZ13</f>
        <v>5505.5124431416407</v>
      </c>
      <c r="CB11" s="72">
        <f>Налоги!CA13</f>
        <v>6492.2027118470905</v>
      </c>
      <c r="CC11" s="72">
        <f>Налоги!CB13</f>
        <v>7330.6425347275454</v>
      </c>
      <c r="CD11" s="72">
        <f>Налоги!CC13</f>
        <v>8813.5607341410905</v>
      </c>
      <c r="CE11" s="72">
        <f>Налоги!CD13</f>
        <v>10598.745417915379</v>
      </c>
      <c r="CF11" s="72">
        <f>Налоги!CE13</f>
        <v>11893.467763692302</v>
      </c>
      <c r="CG11" s="72">
        <f>Налоги!CF13</f>
        <v>12349.750286588784</v>
      </c>
      <c r="CH11" s="72">
        <f>Налоги!CG13</f>
        <v>2992.685712772713</v>
      </c>
      <c r="CI11" s="72">
        <f>Налоги!CH13</f>
        <v>3105.7460632948123</v>
      </c>
      <c r="CJ11" s="72">
        <f>Налоги!CI13</f>
        <v>3105.7460632948123</v>
      </c>
      <c r="CK11" s="72">
        <f>Налоги!CJ13</f>
        <v>3179.8712862073121</v>
      </c>
      <c r="CL11" s="72">
        <f>Налоги!CK13</f>
        <v>6005.3873616073288</v>
      </c>
      <c r="CM11" s="72">
        <f>Налоги!CL13</f>
        <v>5784.5289600573487</v>
      </c>
      <c r="CN11" s="72">
        <f>Налоги!CM13</f>
        <v>6831.0063998903897</v>
      </c>
      <c r="CO11" s="72">
        <f>Налоги!CN13</f>
        <v>7729.2333938984302</v>
      </c>
      <c r="CP11" s="72">
        <f>Налоги!CO13</f>
        <v>9309.3057463943078</v>
      </c>
      <c r="CQ11" s="72">
        <f>Налоги!CP13</f>
        <v>11206.591376032826</v>
      </c>
      <c r="CR11" s="72">
        <f>Налоги!CQ13</f>
        <v>12590.994478501136</v>
      </c>
      <c r="CS11" s="72">
        <f>Налоги!CR13</f>
        <v>13077.170586961405</v>
      </c>
      <c r="CT11" s="72">
        <f>Налоги!CS13</f>
        <v>3179.8712862073121</v>
      </c>
      <c r="CU11" s="72">
        <f>Налоги!CT13</f>
        <v>3279.5467758036748</v>
      </c>
      <c r="CV11" s="72">
        <f>Налоги!CU13</f>
        <v>3279.5467758036748</v>
      </c>
      <c r="CW11" s="72">
        <f>Налоги!CV13</f>
        <v>3353.671998716175</v>
      </c>
      <c r="CX11" s="72">
        <f>Налоги!CW13</f>
        <v>5944.5019304199068</v>
      </c>
      <c r="CY11" s="72">
        <f>Налоги!CX13</f>
        <v>6046.0750245180297</v>
      </c>
      <c r="CZ11" s="72">
        <f>Налоги!CY13</f>
        <v>7155.7537616001773</v>
      </c>
      <c r="DA11" s="72">
        <f>Налоги!CZ13</f>
        <v>8117.1820528573262</v>
      </c>
      <c r="DB11" s="72">
        <f>Налоги!DA13</f>
        <v>9799.9565133830019</v>
      </c>
      <c r="DC11" s="72">
        <f>Налоги!DB13</f>
        <v>11815.744575363591</v>
      </c>
      <c r="DD11" s="72">
        <f>Налоги!DC13</f>
        <v>13294.949623705559</v>
      </c>
      <c r="DE11" s="72">
        <f>Налоги!DD13</f>
        <v>13812.726380790384</v>
      </c>
      <c r="DF11" s="72">
        <f>Налоги!DE13</f>
        <v>3353.671998716175</v>
      </c>
      <c r="DG11" s="72">
        <f>Налоги!DF13</f>
        <v>3448.0557854632748</v>
      </c>
      <c r="DH11" s="72">
        <f>Налоги!DG13</f>
        <v>3448.0557854632748</v>
      </c>
      <c r="DI11" s="72">
        <f>Налоги!DH13</f>
        <v>3522.1810083757746</v>
      </c>
      <c r="DJ11" s="72">
        <f>Налоги!DI13</f>
        <v>5814.4264156489444</v>
      </c>
      <c r="DK11" s="72">
        <f>Налоги!DJ13</f>
        <v>6297.025242887139</v>
      </c>
      <c r="DL11" s="72">
        <f>Налоги!DK13</f>
        <v>7473.5028526729402</v>
      </c>
      <c r="DM11" s="72">
        <f>Налоги!DL13</f>
        <v>8501.7300166337427</v>
      </c>
      <c r="DN11" s="72">
        <f>Налоги!DM13</f>
        <v>10293.052645302854</v>
      </c>
      <c r="DO11" s="72">
        <f>Налоги!DN13</f>
        <v>12434.088593602792</v>
      </c>
      <c r="DP11" s="72">
        <f>Налоги!DO13</f>
        <v>14013.491951000251</v>
      </c>
      <c r="DQ11" s="72">
        <f>Налоги!DP13</f>
        <v>14564.668144436899</v>
      </c>
      <c r="DR11" s="72">
        <f>Налоги!DQ13</f>
        <v>3522.1810083757746</v>
      </c>
      <c r="DS11" s="72">
        <f>Налоги!DR13</f>
        <v>3605.7908962015808</v>
      </c>
      <c r="DT11" s="72">
        <f>Налоги!DS13</f>
        <v>3605.7908962015808</v>
      </c>
      <c r="DU11" s="72">
        <f>Налоги!DT13</f>
        <v>3679.9161191140811</v>
      </c>
      <c r="DV11" s="72">
        <f>Налоги!DU13</f>
        <v>5600.8477445728004</v>
      </c>
      <c r="DW11" s="72">
        <f>Налоги!DV13</f>
        <v>6530.512200247591</v>
      </c>
      <c r="DX11" s="72">
        <f>Налоги!DW13</f>
        <v>7777.5792622820827</v>
      </c>
      <c r="DY11" s="72">
        <f>Налоги!DX13</f>
        <v>8876.3958784915776</v>
      </c>
      <c r="DZ11" s="72">
        <f>Налоги!DY13</f>
        <v>10782.426367064811</v>
      </c>
      <c r="EA11" s="72">
        <f>Налоги!DZ13</f>
        <v>13055.817538331052</v>
      </c>
      <c r="EB11" s="72">
        <f>Налоги!EA13</f>
        <v>14741.105074101539</v>
      </c>
      <c r="EC11" s="72">
        <f>Налоги!EB13</f>
        <v>15327.575993662533</v>
      </c>
      <c r="ED11" s="72">
        <f>Налоги!EC13</f>
        <v>3679.9161191140811</v>
      </c>
    </row>
    <row r="12" spans="2:134" s="60" customFormat="1" ht="12.6" customHeight="1">
      <c r="B12" s="135" t="s">
        <v>505</v>
      </c>
      <c r="C12" s="96">
        <f>SUM(C13:C17)</f>
        <v>0</v>
      </c>
      <c r="D12" s="96">
        <f t="shared" ref="D12:BO12" si="13">SUM(D13:D17)</f>
        <v>0</v>
      </c>
      <c r="E12" s="96">
        <f t="shared" si="13"/>
        <v>0</v>
      </c>
      <c r="F12" s="96">
        <f t="shared" si="13"/>
        <v>0</v>
      </c>
      <c r="G12" s="96">
        <f t="shared" si="13"/>
        <v>0</v>
      </c>
      <c r="H12" s="96">
        <f t="shared" si="13"/>
        <v>0</v>
      </c>
      <c r="I12" s="96">
        <f t="shared" si="13"/>
        <v>0</v>
      </c>
      <c r="J12" s="96">
        <f t="shared" si="13"/>
        <v>0</v>
      </c>
      <c r="K12" s="96">
        <f t="shared" si="13"/>
        <v>0</v>
      </c>
      <c r="L12" s="96">
        <f t="shared" si="13"/>
        <v>0</v>
      </c>
      <c r="M12" s="96">
        <f t="shared" si="13"/>
        <v>0</v>
      </c>
      <c r="N12" s="96">
        <f t="shared" si="13"/>
        <v>0</v>
      </c>
      <c r="O12" s="96">
        <f t="shared" si="13"/>
        <v>0</v>
      </c>
      <c r="P12" s="96">
        <f t="shared" si="13"/>
        <v>104.21308457132152</v>
      </c>
      <c r="Q12" s="96">
        <f t="shared" si="13"/>
        <v>104.48828208415085</v>
      </c>
      <c r="R12" s="96">
        <f t="shared" si="13"/>
        <v>280.19721361301208</v>
      </c>
      <c r="S12" s="96">
        <f t="shared" si="13"/>
        <v>305.82308460768536</v>
      </c>
      <c r="T12" s="96">
        <f t="shared" si="13"/>
        <v>304.26454712046854</v>
      </c>
      <c r="U12" s="96">
        <f t="shared" si="13"/>
        <v>302.38012347164602</v>
      </c>
      <c r="V12" s="96">
        <f t="shared" si="13"/>
        <v>298.48288632632779</v>
      </c>
      <c r="W12" s="96">
        <f t="shared" si="13"/>
        <v>304.52907804770524</v>
      </c>
      <c r="X12" s="96">
        <f t="shared" si="13"/>
        <v>456.58991677896961</v>
      </c>
      <c r="Y12" s="96">
        <f t="shared" si="13"/>
        <v>455.88586851424014</v>
      </c>
      <c r="Z12" s="96">
        <f t="shared" si="13"/>
        <v>452.12168150066452</v>
      </c>
      <c r="AA12" s="96">
        <f t="shared" si="13"/>
        <v>445.72683380338947</v>
      </c>
      <c r="AB12" s="96">
        <f t="shared" si="13"/>
        <v>439.30593270501811</v>
      </c>
      <c r="AC12" s="96">
        <f t="shared" si="13"/>
        <v>484.07697618872032</v>
      </c>
      <c r="AD12" s="96">
        <f t="shared" si="13"/>
        <v>476.80356507837564</v>
      </c>
      <c r="AE12" s="96">
        <f t="shared" si="13"/>
        <v>469.50052119083796</v>
      </c>
      <c r="AF12" s="96">
        <f t="shared" si="13"/>
        <v>462.16772379850528</v>
      </c>
      <c r="AG12" s="96">
        <f t="shared" si="13"/>
        <v>527.97664211381243</v>
      </c>
      <c r="AH12" s="96">
        <f t="shared" si="13"/>
        <v>555.81160551539926</v>
      </c>
      <c r="AI12" s="96">
        <f t="shared" si="13"/>
        <v>582.70363032975752</v>
      </c>
      <c r="AJ12" s="96">
        <f t="shared" si="13"/>
        <v>608.64702295213124</v>
      </c>
      <c r="AK12" s="96">
        <f t="shared" si="13"/>
        <v>598.87224490621975</v>
      </c>
      <c r="AL12" s="96">
        <f t="shared" si="13"/>
        <v>589.05764320459161</v>
      </c>
      <c r="AM12" s="96">
        <f t="shared" si="13"/>
        <v>579.20305560074382</v>
      </c>
      <c r="AN12" s="96">
        <f t="shared" si="13"/>
        <v>569.30831918716115</v>
      </c>
      <c r="AO12" s="96">
        <f t="shared" si="13"/>
        <v>559.373270392623</v>
      </c>
      <c r="AP12" s="96">
        <f t="shared" si="13"/>
        <v>549.39774497949918</v>
      </c>
      <c r="AQ12" s="96">
        <f t="shared" si="13"/>
        <v>539.38157804103548</v>
      </c>
      <c r="AR12" s="96">
        <f t="shared" si="13"/>
        <v>529.3246039986268</v>
      </c>
      <c r="AS12" s="96">
        <f t="shared" si="13"/>
        <v>599.71540607416659</v>
      </c>
      <c r="AT12" s="96">
        <f t="shared" si="13"/>
        <v>628.32671353828721</v>
      </c>
      <c r="AU12" s="96">
        <f t="shared" si="13"/>
        <v>655.8926111696245</v>
      </c>
      <c r="AV12" s="96">
        <f t="shared" si="13"/>
        <v>682.40680268726135</v>
      </c>
      <c r="AW12" s="96">
        <f t="shared" si="13"/>
        <v>669.62276231584804</v>
      </c>
      <c r="AX12" s="96">
        <f t="shared" si="13"/>
        <v>656.78663818150642</v>
      </c>
      <c r="AY12" s="96">
        <f t="shared" si="13"/>
        <v>643.89821808853935</v>
      </c>
      <c r="AZ12" s="96">
        <f t="shared" si="13"/>
        <v>630.95728897673791</v>
      </c>
      <c r="BA12" s="96">
        <f t="shared" si="13"/>
        <v>617.96363691785939</v>
      </c>
      <c r="BB12" s="96">
        <f t="shared" si="13"/>
        <v>604.9170471120915</v>
      </c>
      <c r="BC12" s="96">
        <f t="shared" si="13"/>
        <v>591.81730388450023</v>
      </c>
      <c r="BD12" s="96">
        <f t="shared" si="13"/>
        <v>578.66419068146593</v>
      </c>
      <c r="BE12" s="96">
        <f t="shared" si="13"/>
        <v>653.99511448969724</v>
      </c>
      <c r="BF12" s="96">
        <f t="shared" si="13"/>
        <v>683.36004280872373</v>
      </c>
      <c r="BG12" s="96">
        <f t="shared" si="13"/>
        <v>711.56643405551551</v>
      </c>
      <c r="BH12" s="96">
        <f t="shared" si="13"/>
        <v>738.60732733959287</v>
      </c>
      <c r="BI12" s="96">
        <f t="shared" si="13"/>
        <v>722.41150918408198</v>
      </c>
      <c r="BJ12" s="96">
        <f t="shared" si="13"/>
        <v>706.14970726062825</v>
      </c>
      <c r="BK12" s="96">
        <f t="shared" si="13"/>
        <v>689.82165274319323</v>
      </c>
      <c r="BL12" s="96">
        <f t="shared" si="13"/>
        <v>673.42707571050789</v>
      </c>
      <c r="BM12" s="96">
        <f t="shared" si="13"/>
        <v>656.96570514161101</v>
      </c>
      <c r="BN12" s="96">
        <f t="shared" si="13"/>
        <v>640.4372689113676</v>
      </c>
      <c r="BO12" s="96">
        <f t="shared" si="13"/>
        <v>623.84149378597226</v>
      </c>
      <c r="BP12" s="96">
        <f t="shared" ref="BP12:EA12" si="14">SUM(BP13:BP17)</f>
        <v>607.1781054184305</v>
      </c>
      <c r="BQ12" s="96">
        <f t="shared" si="14"/>
        <v>590.44682834402442</v>
      </c>
      <c r="BR12" s="96">
        <f t="shared" si="14"/>
        <v>573.64738597575854</v>
      </c>
      <c r="BS12" s="96">
        <f t="shared" si="14"/>
        <v>556.77950059978809</v>
      </c>
      <c r="BT12" s="96">
        <f t="shared" si="14"/>
        <v>539.8428933708276</v>
      </c>
      <c r="BU12" s="96">
        <f t="shared" si="14"/>
        <v>522.83728430754127</v>
      </c>
      <c r="BV12" s="96">
        <f t="shared" si="14"/>
        <v>505.76239228791479</v>
      </c>
      <c r="BW12" s="96">
        <f t="shared" si="14"/>
        <v>488.61793504460786</v>
      </c>
      <c r="BX12" s="96">
        <f t="shared" si="14"/>
        <v>471.40362916028829</v>
      </c>
      <c r="BY12" s="96">
        <f t="shared" si="14"/>
        <v>454.11919006294642</v>
      </c>
      <c r="BZ12" s="96">
        <f t="shared" si="14"/>
        <v>436.76433202119102</v>
      </c>
      <c r="CA12" s="96">
        <f t="shared" si="14"/>
        <v>419.33876813952588</v>
      </c>
      <c r="CB12" s="96">
        <f t="shared" si="14"/>
        <v>401.84221035360702</v>
      </c>
      <c r="CC12" s="96">
        <f t="shared" si="14"/>
        <v>384.27436942548047</v>
      </c>
      <c r="CD12" s="96">
        <f t="shared" si="14"/>
        <v>366.63495493880134</v>
      </c>
      <c r="CE12" s="96">
        <f t="shared" si="14"/>
        <v>348.92367529403248</v>
      </c>
      <c r="CF12" s="96">
        <f t="shared" si="14"/>
        <v>331.14023770362388</v>
      </c>
      <c r="CG12" s="96">
        <f t="shared" si="14"/>
        <v>313.28434818717329</v>
      </c>
      <c r="CH12" s="96">
        <f t="shared" si="14"/>
        <v>276.89255581903262</v>
      </c>
      <c r="CI12" s="96">
        <f t="shared" si="14"/>
        <v>268.06125516375994</v>
      </c>
      <c r="CJ12" s="96">
        <f t="shared" si="14"/>
        <v>259.1939746964469</v>
      </c>
      <c r="CK12" s="96">
        <f t="shared" si="14"/>
        <v>250.29056783088583</v>
      </c>
      <c r="CL12" s="96">
        <f t="shared" si="14"/>
        <v>241.3508873836582</v>
      </c>
      <c r="CM12" s="96">
        <f t="shared" si="14"/>
        <v>232.37478557170232</v>
      </c>
      <c r="CN12" s="96">
        <f t="shared" si="14"/>
        <v>191.05940804885142</v>
      </c>
      <c r="CO12" s="96">
        <f t="shared" si="14"/>
        <v>184.88729325063855</v>
      </c>
      <c r="CP12" s="96">
        <f t="shared" si="14"/>
        <v>178.69003249273089</v>
      </c>
      <c r="CQ12" s="96">
        <f t="shared" si="14"/>
        <v>172.46752332737597</v>
      </c>
      <c r="CR12" s="96">
        <f t="shared" si="14"/>
        <v>166.21966288943648</v>
      </c>
      <c r="CS12" s="96">
        <f t="shared" si="14"/>
        <v>159.94634789468989</v>
      </c>
      <c r="CT12" s="96">
        <f t="shared" si="14"/>
        <v>153.64747463812085</v>
      </c>
      <c r="CU12" s="96">
        <f t="shared" si="14"/>
        <v>147.32293899220707</v>
      </c>
      <c r="CV12" s="96">
        <f t="shared" si="14"/>
        <v>140.9726364051977</v>
      </c>
      <c r="CW12" s="96">
        <f t="shared" si="14"/>
        <v>134.59646189938528</v>
      </c>
      <c r="CX12" s="96">
        <f t="shared" si="14"/>
        <v>128.19431006937</v>
      </c>
      <c r="CY12" s="96">
        <f t="shared" si="14"/>
        <v>121.76607508031753</v>
      </c>
      <c r="CZ12" s="96">
        <f t="shared" si="14"/>
        <v>79.77867410908901</v>
      </c>
      <c r="DA12" s="96">
        <f t="shared" si="14"/>
        <v>76.462956624467679</v>
      </c>
      <c r="DB12" s="96">
        <f t="shared" si="14"/>
        <v>73.133730496382384</v>
      </c>
      <c r="DC12" s="96">
        <f t="shared" si="14"/>
        <v>69.790940688947529</v>
      </c>
      <c r="DD12" s="96">
        <f t="shared" si="14"/>
        <v>66.434531942054448</v>
      </c>
      <c r="DE12" s="96">
        <f t="shared" si="14"/>
        <v>63.064448770458014</v>
      </c>
      <c r="DF12" s="96">
        <f t="shared" si="14"/>
        <v>59.680635462859307</v>
      </c>
      <c r="DG12" s="96">
        <f t="shared" si="14"/>
        <v>56.283036080984672</v>
      </c>
      <c r="DH12" s="96">
        <f t="shared" si="14"/>
        <v>52.871594458661058</v>
      </c>
      <c r="DI12" s="96">
        <f t="shared" si="14"/>
        <v>49.446254200887388</v>
      </c>
      <c r="DJ12" s="96">
        <f t="shared" si="14"/>
        <v>46.006958682902436</v>
      </c>
      <c r="DK12" s="96">
        <f t="shared" si="14"/>
        <v>42.553651049248671</v>
      </c>
      <c r="DL12" s="96">
        <f t="shared" si="14"/>
        <v>0</v>
      </c>
      <c r="DM12" s="96">
        <f t="shared" si="14"/>
        <v>0</v>
      </c>
      <c r="DN12" s="96">
        <f t="shared" si="14"/>
        <v>0</v>
      </c>
      <c r="DO12" s="96">
        <f t="shared" si="14"/>
        <v>0</v>
      </c>
      <c r="DP12" s="96">
        <f t="shared" si="14"/>
        <v>0</v>
      </c>
      <c r="DQ12" s="96">
        <f t="shared" si="14"/>
        <v>0</v>
      </c>
      <c r="DR12" s="96">
        <f t="shared" si="14"/>
        <v>0</v>
      </c>
      <c r="DS12" s="96">
        <f t="shared" si="14"/>
        <v>0</v>
      </c>
      <c r="DT12" s="96">
        <f t="shared" si="14"/>
        <v>0</v>
      </c>
      <c r="DU12" s="96">
        <f t="shared" si="14"/>
        <v>0</v>
      </c>
      <c r="DV12" s="96">
        <f t="shared" si="14"/>
        <v>0</v>
      </c>
      <c r="DW12" s="96">
        <f t="shared" si="14"/>
        <v>0</v>
      </c>
      <c r="DX12" s="96">
        <f t="shared" si="14"/>
        <v>0</v>
      </c>
      <c r="DY12" s="96">
        <f t="shared" si="14"/>
        <v>0</v>
      </c>
      <c r="DZ12" s="96">
        <f t="shared" si="14"/>
        <v>0</v>
      </c>
      <c r="EA12" s="96">
        <f t="shared" si="14"/>
        <v>0</v>
      </c>
      <c r="EB12" s="96">
        <f t="shared" ref="EB12:ED12" si="15">SUM(EB13:EB17)</f>
        <v>0</v>
      </c>
      <c r="EC12" s="96">
        <f t="shared" si="15"/>
        <v>0</v>
      </c>
      <c r="ED12" s="96">
        <f t="shared" si="15"/>
        <v>0</v>
      </c>
    </row>
    <row r="13" spans="2:134" s="60" customFormat="1" ht="12.6" customHeight="1">
      <c r="B13" s="319" t="s">
        <v>408</v>
      </c>
      <c r="C13" s="320">
        <v>0</v>
      </c>
      <c r="D13" s="320">
        <v>0</v>
      </c>
      <c r="E13" s="320">
        <v>0</v>
      </c>
      <c r="F13" s="320">
        <v>0</v>
      </c>
      <c r="G13" s="320">
        <v>0</v>
      </c>
      <c r="H13" s="320">
        <v>0</v>
      </c>
      <c r="I13" s="320">
        <v>0</v>
      </c>
      <c r="J13" s="320">
        <v>0</v>
      </c>
      <c r="K13" s="320">
        <v>0</v>
      </c>
      <c r="L13" s="320">
        <v>0</v>
      </c>
      <c r="M13" s="320">
        <v>0</v>
      </c>
      <c r="N13" s="320">
        <v>0</v>
      </c>
      <c r="O13" s="320">
        <f>IPMT(Исх.данные!$D$9,O40,Исх.данные!$D$11,-SUM($O20:O20),,SUM($O20:O20))</f>
        <v>0</v>
      </c>
      <c r="P13" s="320">
        <f>IPMT(Исх.данные!$D$9,P40,Исх.данные!$D$11,-SUM($O20:P20),,SUM($O20:P20))</f>
        <v>104.21308457132152</v>
      </c>
      <c r="Q13" s="320">
        <f>IPMT(Исх.данные!$D$9,Q40,Исх.данные!$D$11,-SUM($O20:Q20),,SUM($O20:Q20))</f>
        <v>104.48828208415085</v>
      </c>
      <c r="R13" s="320">
        <f>IPMT(Исх.данные!$D$9,R40,Исх.данные!$D$11,-SUM($O20:R20),,SUM($O20:R20))</f>
        <v>280.19721361301208</v>
      </c>
      <c r="S13" s="320">
        <f>IPMT(Исх.данные!$D$9,S40,Исх.данные!$D$11,-SUM($O20:S20),,SUM($O20:S20))</f>
        <v>305.82308460768536</v>
      </c>
      <c r="T13" s="320">
        <f>IPMT(Исх.данные!$D$9,T40,Исх.данные!$D$11,-SUM($O20:T20),,SUM($O20:T20))</f>
        <v>304.26454712046854</v>
      </c>
      <c r="U13" s="320">
        <f>IPMT(Исх.данные!$D$9,U40,Исх.данные!$D$11,-SUM($O20:U20),,SUM($O20:U20))</f>
        <v>302.38012347164602</v>
      </c>
      <c r="V13" s="320">
        <f>IPMT(Исх.данные!$D$9,V40,Исх.данные!$D$11,-SUM($O20:V20),,SUM($O20:V20))</f>
        <v>298.48288632632779</v>
      </c>
      <c r="W13" s="320">
        <f>IPMT(Исх.данные!$D$9,W40,Исх.данные!$D$11,-SUM($O20:W20),,SUM($O20:W20))</f>
        <v>304.52907804770524</v>
      </c>
      <c r="X13" s="320">
        <f>IPMT(Исх.данные!$D$9,X40,Исх.данные!$D$11,-SUM($O20:X20),,SUM($O20:X20))</f>
        <v>313.6937368538857</v>
      </c>
      <c r="Y13" s="320">
        <f>IPMT(Исх.данные!$D$9,Y40,Исх.данные!$D$11,-SUM($O20:Y20),,SUM($O20:Y20))</f>
        <v>314.75791894969444</v>
      </c>
      <c r="Z13" s="320">
        <f>IPMT(Исх.данные!$D$9,Z40,Исх.данные!$D$11,-SUM($O20:Z20),,SUM($O20:Z20))</f>
        <v>312.7691662860239</v>
      </c>
      <c r="AA13" s="320">
        <f>IPMT(Исх.данные!$D$9,AA40,Исх.данные!$D$11,-SUM($O20:AA20),,SUM($O20:AA20))</f>
        <v>308.15698627796519</v>
      </c>
      <c r="AB13" s="320">
        <f>IPMT(Исх.данные!$D$9,AB40,Исх.данные!$D$11,-SUM($O20:AB20),,SUM($O20:AB20))</f>
        <v>303.52601567764111</v>
      </c>
      <c r="AC13" s="320">
        <f>IPMT(Исх.данные!$D$9,AC40,Исх.данные!$D$11,-SUM($O20:AC20),,SUM($O20:AC20))</f>
        <v>350.09428205780381</v>
      </c>
      <c r="AD13" s="320">
        <f>IPMT(Исх.данные!$D$9,AD40,Исх.данные!$D$11,-SUM($O20:AD20),,SUM($O20:AD20))</f>
        <v>344.6254159524666</v>
      </c>
      <c r="AE13" s="320">
        <f>IPMT(Исх.данные!$D$9,AE40,Исх.данные!$D$11,-SUM($O20:AE20),,SUM($O20:AE20))</f>
        <v>339.13426900965999</v>
      </c>
      <c r="AF13" s="320">
        <f>IPMT(Исх.данные!$D$9,AF40,Исх.данные!$D$11,-SUM($O20:AF20),,SUM($O20:AF20))</f>
        <v>333.62075045449433</v>
      </c>
      <c r="AG13" s="320">
        <f>IPMT(Исх.данные!$D$9,AG40,Исх.данные!$D$11,-SUM($O20:AG20),,SUM($O20:AG20))</f>
        <v>328.08476914225139</v>
      </c>
      <c r="AH13" s="320">
        <f>IPMT(Исх.данные!$D$9,AH40,Исх.данные!$D$11,-SUM($O20:AH20),,SUM($O20:AH20))</f>
        <v>322.52623355687842</v>
      </c>
      <c r="AI13" s="320">
        <f>IPMT(Исх.данные!$D$9,AI40,Исх.данные!$D$11,-SUM($O20:AI20),,SUM($O20:AI20))</f>
        <v>316.94505180947493</v>
      </c>
      <c r="AJ13" s="320">
        <f>IPMT(Исх.данные!$D$9,AJ40,Исх.данные!$D$11,-SUM($O20:AJ20),,SUM($O20:AJ20))</f>
        <v>311.34113163677335</v>
      </c>
      <c r="AK13" s="320">
        <f>IPMT(Исх.данные!$D$9,AK40,Исх.данные!$D$11,-SUM($O20:AK20),,SUM($O20:AK20))</f>
        <v>305.71438039961447</v>
      </c>
      <c r="AL13" s="320">
        <f>IPMT(Исх.данные!$D$9,AL40,Исх.данные!$D$11,-SUM($O20:AL20),,SUM($O20:AL20))</f>
        <v>300.06470508141575</v>
      </c>
      <c r="AM13" s="320">
        <f>IPMT(Исх.данные!$D$9,AM40,Исх.данные!$D$11,-SUM($O20:AM20),,SUM($O20:AM20))</f>
        <v>294.39201228663319</v>
      </c>
      <c r="AN13" s="320">
        <f>IPMT(Исх.данные!$D$9,AN40,Исх.данные!$D$11,-SUM($O20:AN20),,SUM($O20:AN20))</f>
        <v>288.69620823921809</v>
      </c>
      <c r="AO13" s="320">
        <f>IPMT(Исх.данные!$D$9,AO40,Исх.данные!$D$11,-SUM($O20:AO20),,SUM($O20:AO20))</f>
        <v>282.97719878106642</v>
      </c>
      <c r="AP13" s="320">
        <f>IPMT(Исх.данные!$D$9,AP40,Исх.данные!$D$11,-SUM($O20:AP20),,SUM($O20:AP20))</f>
        <v>277.23488937046238</v>
      </c>
      <c r="AQ13" s="320">
        <f>IPMT(Исх.данные!$D$9,AQ40,Исх.данные!$D$11,-SUM($O20:AQ20),,SUM($O20:AQ20))</f>
        <v>271.4691850805155</v>
      </c>
      <c r="AR13" s="320">
        <f>IPMT(Исх.данные!$D$9,AR40,Исх.данные!$D$11,-SUM($O20:AR20),,SUM($O20:AR20))</f>
        <v>265.67999059759148</v>
      </c>
      <c r="AS13" s="320">
        <f>IPMT(Исх.данные!$D$9,AS40,Исх.данные!$D$11,-SUM($O20:AS20),,SUM($O20:AS20))</f>
        <v>259.86721021973642</v>
      </c>
      <c r="AT13" s="320">
        <f>IPMT(Исх.данные!$D$9,AT40,Исх.данные!$D$11,-SUM($O20:AT20),,SUM($O20:AT20))</f>
        <v>254.03074785509483</v>
      </c>
      <c r="AU13" s="320">
        <f>IPMT(Исх.данные!$D$9,AU40,Исх.данные!$D$11,-SUM($O20:AU20),,SUM($O20:AU20))</f>
        <v>248.17050702032103</v>
      </c>
      <c r="AV13" s="320">
        <f>IPMT(Исх.данные!$D$9,AV40,Исх.данные!$D$11,-SUM($O20:AV20),,SUM($O20:AV20))</f>
        <v>242.28639083898443</v>
      </c>
      <c r="AW13" s="320">
        <f>IPMT(Исх.данные!$D$9,AW40,Исх.данные!$D$11,-SUM($O20:AW20),,SUM($O20:AW20))</f>
        <v>236.37830203996771</v>
      </c>
      <c r="AX13" s="320">
        <f>IPMT(Исх.данные!$D$9,AX40,Исх.данные!$D$11,-SUM($O20:AX20),,SUM($O20:AX20))</f>
        <v>230.44614295585893</v>
      </c>
      <c r="AY13" s="320">
        <f>IPMT(Исх.данные!$D$9,AY40,Исх.данные!$D$11,-SUM($O20:AY20),,SUM($O20:AY20))</f>
        <v>224.48981552133725</v>
      </c>
      <c r="AZ13" s="320">
        <f>IPMT(Исх.данные!$D$9,AZ40,Исх.данные!$D$11,-SUM($O20:AZ20),,SUM($O20:AZ20))</f>
        <v>218.50922127155138</v>
      </c>
      <c r="BA13" s="320">
        <f>IPMT(Исх.данные!$D$9,BA40,Исх.данные!$D$11,-SUM($O20:BA20),,SUM($O20:BA20))</f>
        <v>212.50426134049212</v>
      </c>
      <c r="BB13" s="320">
        <f>IPMT(Исх.данные!$D$9,BB40,Исх.данные!$D$11,-SUM($O20:BB20),,SUM($O20:BB20))</f>
        <v>206.47483645935787</v>
      </c>
      <c r="BC13" s="320">
        <f>IPMT(Исх.данные!$D$9,BC40,Исх.данные!$D$11,-SUM($O20:BC20),,SUM($O20:BC20))</f>
        <v>200.42084695491369</v>
      </c>
      <c r="BD13" s="320">
        <f>IPMT(Исх.данные!$D$9,BD40,Исх.данные!$D$11,-SUM($O20:BD20),,SUM($O20:BD20))</f>
        <v>194.34219274784346</v>
      </c>
      <c r="BE13" s="320">
        <f>IPMT(Исх.данные!$D$9,BE40,Исх.данные!$D$11,-SUM($O20:BE20),,SUM($O20:BE20))</f>
        <v>188.23877335109563</v>
      </c>
      <c r="BF13" s="320">
        <f>IPMT(Исх.данные!$D$9,BF40,Исх.данные!$D$11,-SUM($O20:BF20),,SUM($O20:BF20))</f>
        <v>182.11048786822198</v>
      </c>
      <c r="BG13" s="320">
        <f>IPMT(Исх.данные!$D$9,BG40,Исх.данные!$D$11,-SUM($O20:BG20),,SUM($O20:BG20))</f>
        <v>175.9572349917095</v>
      </c>
      <c r="BH13" s="320">
        <f>IPMT(Исх.данные!$D$9,BH40,Исх.данные!$D$11,-SUM($O20:BH20),,SUM($O20:BH20))</f>
        <v>169.77891300130605</v>
      </c>
      <c r="BI13" s="320">
        <f>IPMT(Исх.данные!$D$9,BI40,Исх.данные!$D$11,-SUM($O20:BI20),,SUM($O20:BI20))</f>
        <v>163.57541976233844</v>
      </c>
      <c r="BJ13" s="320">
        <f>IPMT(Исх.данные!$D$9,BJ40,Исх.данные!$D$11,-SUM($O20:BJ20),,SUM($O20:BJ20))</f>
        <v>157.34665272402427</v>
      </c>
      <c r="BK13" s="320">
        <f>IPMT(Исх.данные!$D$9,BK40,Исх.данные!$D$11,-SUM($O20:BK20),,SUM($O20:BK20))</f>
        <v>151.09250891777651</v>
      </c>
      <c r="BL13" s="320">
        <f>IPMT(Исх.данные!$D$9,BL40,Исх.данные!$D$11,-SUM($O20:BL20),,SUM($O20:BL20))</f>
        <v>144.81288495550135</v>
      </c>
      <c r="BM13" s="320">
        <f>IPMT(Исх.данные!$D$9,BM40,Исх.данные!$D$11,-SUM($O20:BM20),,SUM($O20:BM20))</f>
        <v>138.50767702788909</v>
      </c>
      <c r="BN13" s="320">
        <f>IPMT(Исх.данные!$D$9,BN40,Исх.данные!$D$11,-SUM($O20:BN20),,SUM($O20:BN20))</f>
        <v>132.17678090269814</v>
      </c>
      <c r="BO13" s="320">
        <f>IPMT(Исх.данные!$D$9,BO40,Исх.данные!$D$11,-SUM($O20:BO20),,SUM($O20:BO20))</f>
        <v>125.82009192303173</v>
      </c>
      <c r="BP13" s="320">
        <f>IPMT(Исх.данные!$D$9,BP40,Исх.данные!$D$11,-SUM($O20:BP20),,SUM($O20:BP20))</f>
        <v>119.43750500560799</v>
      </c>
      <c r="BQ13" s="320">
        <f>IPMT(Исх.данные!$D$9,BQ40,Исх.данные!$D$11,-SUM($O20:BQ20),,SUM($O20:BQ20))</f>
        <v>113.02891463902277</v>
      </c>
      <c r="BR13" s="320">
        <f>IPMT(Исх.данные!$D$9,BR40,Исх.данные!$D$11,-SUM($O20:BR20),,SUM($O20:BR20))</f>
        <v>106.59421488200539</v>
      </c>
      <c r="BS13" s="320">
        <f>IPMT(Исх.данные!$D$9,BS40,Исх.данные!$D$11,-SUM($O20:BS20),,SUM($O20:BS20))</f>
        <v>100.13329936166733</v>
      </c>
      <c r="BT13" s="320">
        <f>IPMT(Исх.данные!$D$9,BT40,Исх.данные!$D$11,-SUM($O20:BT20),,SUM($O20:BT20))</f>
        <v>93.646061271743704</v>
      </c>
      <c r="BU13" s="320">
        <f>IPMT(Исх.данные!$D$9,BU40,Исх.данные!$D$11,-SUM($O20:BU20),,SUM($O20:BU20))</f>
        <v>87.132393370827714</v>
      </c>
      <c r="BV13" s="320">
        <f>IPMT(Исх.данные!$D$9,BV40,Исх.данные!$D$11,-SUM($O20:BV20),,SUM($O20:BV20))</f>
        <v>80.592187980597828</v>
      </c>
      <c r="BW13" s="320">
        <f>IPMT(Исх.данные!$D$9,BW40,Исх.данные!$D$11,-SUM($O20:BW20),,SUM($O20:BW20))</f>
        <v>74.025336984037665</v>
      </c>
      <c r="BX13" s="320">
        <f>IPMT(Исх.данные!$D$9,BX40,Исх.данные!$D$11,-SUM($O20:BX20),,SUM($O20:BX20))</f>
        <v>67.431731823648732</v>
      </c>
      <c r="BY13" s="320">
        <f>IPMT(Исх.данные!$D$9,BY40,Исх.данные!$D$11,-SUM($O20:BY20),,SUM($O20:BY20))</f>
        <v>60.81126349965588</v>
      </c>
      <c r="BZ13" s="320">
        <f>IPMT(Исх.данные!$D$9,BZ40,Исх.данные!$D$11,-SUM($O20:BZ20),,SUM($O20:BZ20))</f>
        <v>54.163822568205362</v>
      </c>
      <c r="CA13" s="320">
        <f>IPMT(Исх.данные!$D$9,CA40,Исх.данные!$D$11,-SUM($O20:CA20),,SUM($O20:CA20))</f>
        <v>47.489299139555619</v>
      </c>
      <c r="CB13" s="320">
        <f>IPMT(Исх.данные!$D$9,CB40,Исх.данные!$D$11,-SUM($O20:CB20),,SUM($O20:CB20))</f>
        <v>40.787582876260686</v>
      </c>
      <c r="CC13" s="320">
        <f>IPMT(Исх.данные!$D$9,CC40,Исх.данные!$D$11,-SUM($O20:CC20),,SUM($O20:CC20))</f>
        <v>34.058562991346214</v>
      </c>
      <c r="CD13" s="320">
        <f>IPMT(Исх.данные!$D$9,CD40,Исх.данные!$D$11,-SUM($O20:CD20),,SUM($O20:CD20))</f>
        <v>27.302128246477967</v>
      </c>
      <c r="CE13" s="320">
        <f>IPMT(Исх.данные!$D$9,CE40,Исх.данные!$D$11,-SUM($O20:CE20),,SUM($O20:CE20))</f>
        <v>20.518166950122982</v>
      </c>
      <c r="CF13" s="320">
        <f>IPMT(Исх.данные!$D$9,CF40,Исх.данные!$D$11,-SUM($O20:CF20),,SUM($O20:CF20))</f>
        <v>13.706566955703165</v>
      </c>
      <c r="CG13" s="320">
        <f>IPMT(Исх.данные!$D$9,CG40,Исх.данные!$D$11,-SUM($O20:CG20),,SUM($O20:CG20))</f>
        <v>6.867215659741384</v>
      </c>
      <c r="CH13" s="320">
        <v>0</v>
      </c>
      <c r="CI13" s="320">
        <v>0</v>
      </c>
      <c r="CJ13" s="320">
        <v>0</v>
      </c>
      <c r="CK13" s="320">
        <v>0</v>
      </c>
      <c r="CL13" s="320">
        <v>0</v>
      </c>
      <c r="CM13" s="320">
        <v>0</v>
      </c>
      <c r="CN13" s="320">
        <v>0</v>
      </c>
      <c r="CO13" s="320">
        <v>0</v>
      </c>
      <c r="CP13" s="320">
        <v>0</v>
      </c>
      <c r="CQ13" s="320">
        <v>0</v>
      </c>
      <c r="CR13" s="320">
        <v>0</v>
      </c>
      <c r="CS13" s="320">
        <v>0</v>
      </c>
      <c r="CT13" s="320">
        <v>0</v>
      </c>
      <c r="CU13" s="320">
        <v>0</v>
      </c>
      <c r="CV13" s="320">
        <v>0</v>
      </c>
      <c r="CW13" s="320">
        <v>0</v>
      </c>
      <c r="CX13" s="320">
        <v>0</v>
      </c>
      <c r="CY13" s="320">
        <v>0</v>
      </c>
      <c r="CZ13" s="320">
        <v>0</v>
      </c>
      <c r="DA13" s="320">
        <v>0</v>
      </c>
      <c r="DB13" s="320">
        <v>0</v>
      </c>
      <c r="DC13" s="320">
        <v>0</v>
      </c>
      <c r="DD13" s="320">
        <v>0</v>
      </c>
      <c r="DE13" s="320">
        <v>0</v>
      </c>
      <c r="DF13" s="320">
        <v>0</v>
      </c>
      <c r="DG13" s="320">
        <v>0</v>
      </c>
      <c r="DH13" s="320">
        <v>0</v>
      </c>
      <c r="DI13" s="320">
        <v>0</v>
      </c>
      <c r="DJ13" s="320">
        <v>0</v>
      </c>
      <c r="DK13" s="320">
        <v>0</v>
      </c>
      <c r="DL13" s="320">
        <v>0</v>
      </c>
      <c r="DM13" s="320">
        <v>0</v>
      </c>
      <c r="DN13" s="320">
        <v>0</v>
      </c>
      <c r="DO13" s="320">
        <v>0</v>
      </c>
      <c r="DP13" s="320">
        <v>0</v>
      </c>
      <c r="DQ13" s="320">
        <v>0</v>
      </c>
      <c r="DR13" s="320">
        <v>0</v>
      </c>
      <c r="DS13" s="320">
        <v>0</v>
      </c>
      <c r="DT13" s="320">
        <v>0</v>
      </c>
      <c r="DU13" s="320">
        <v>0</v>
      </c>
      <c r="DV13" s="320">
        <v>0</v>
      </c>
      <c r="DW13" s="320">
        <v>0</v>
      </c>
      <c r="DX13" s="320">
        <v>0</v>
      </c>
      <c r="DY13" s="320">
        <v>0</v>
      </c>
      <c r="DZ13" s="320">
        <v>0</v>
      </c>
      <c r="EA13" s="320">
        <v>0</v>
      </c>
      <c r="EB13" s="320">
        <v>0</v>
      </c>
      <c r="EC13" s="320">
        <v>0</v>
      </c>
      <c r="ED13" s="320">
        <v>0</v>
      </c>
    </row>
    <row r="14" spans="2:134" s="60" customFormat="1" ht="12.6" customHeight="1">
      <c r="B14" s="319" t="s">
        <v>409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  <c r="N14" s="320">
        <v>0</v>
      </c>
      <c r="O14" s="320">
        <v>0</v>
      </c>
      <c r="P14" s="320">
        <v>0</v>
      </c>
      <c r="Q14" s="320">
        <v>0</v>
      </c>
      <c r="R14" s="320">
        <v>0</v>
      </c>
      <c r="S14" s="320">
        <v>0</v>
      </c>
      <c r="T14" s="320">
        <v>0</v>
      </c>
      <c r="U14" s="320">
        <v>0</v>
      </c>
      <c r="V14" s="320">
        <v>0</v>
      </c>
      <c r="W14" s="320">
        <v>0</v>
      </c>
      <c r="X14" s="320">
        <v>0</v>
      </c>
      <c r="Y14" s="320">
        <v>0</v>
      </c>
      <c r="Z14" s="320">
        <v>0</v>
      </c>
      <c r="AA14" s="320">
        <v>0</v>
      </c>
      <c r="AB14" s="320">
        <v>0</v>
      </c>
      <c r="AC14" s="320">
        <v>0</v>
      </c>
      <c r="AD14" s="320">
        <v>0</v>
      </c>
      <c r="AE14" s="320">
        <v>0</v>
      </c>
      <c r="AF14" s="320">
        <f>IPMT(Исх.данные!$D$9,AF41,Исх.данные!$D$11,-SUM($AF21:AF21),,SUM($AF21:AF21))</f>
        <v>0</v>
      </c>
      <c r="AG14" s="320">
        <f>IPMT(Исх.данные!$D$9,AG41,Исх.данные!$D$11,-SUM($AF21:AG21),,SUM($AF21:AG21))</f>
        <v>73.171590431896774</v>
      </c>
      <c r="AH14" s="320">
        <f>IPMT(Исх.данные!$D$9,AH41,Исх.данные!$D$11,-SUM($AF21:AH21),,SUM($AF21:AH21))</f>
        <v>108.39922238765463</v>
      </c>
      <c r="AI14" s="320">
        <f>IPMT(Исх.данные!$D$9,AI41,Исх.данные!$D$11,-SUM($AF21:AI21),,SUM($AF21:AI21))</f>
        <v>142.71403440296493</v>
      </c>
      <c r="AJ14" s="320">
        <f>IPMT(Исх.данные!$D$9,AJ41,Исх.данные!$D$11,-SUM($AF21:AJ21),,SUM($AF21:AJ21))</f>
        <v>176.11045558016724</v>
      </c>
      <c r="AK14" s="320">
        <f>IPMT(Исх.данные!$D$9,AK41,Исх.данные!$D$11,-SUM($AF21:AK21),,SUM($AF21:AK21))</f>
        <v>173.81907064997975</v>
      </c>
      <c r="AL14" s="320">
        <f>IPMT(Исх.данные!$D$9,AL41,Исх.данные!$D$11,-SUM($AF21:AL21),,SUM($AF21:AL21))</f>
        <v>171.51835033395071</v>
      </c>
      <c r="AM14" s="320">
        <f>IPMT(Исх.данные!$D$9,AM41,Исх.данные!$D$11,-SUM($AF21:AM21),,SUM($AF21:AM21))</f>
        <v>169.20825659856263</v>
      </c>
      <c r="AN14" s="320">
        <f>IPMT(Исх.данные!$D$9,AN41,Исх.данные!$D$11,-SUM($AF21:AN21),,SUM($AF21:AN21))</f>
        <v>166.88875125534469</v>
      </c>
      <c r="AO14" s="320">
        <f>IPMT(Исх.данные!$D$9,AO41,Исх.данные!$D$11,-SUM($AF21:AO21),,SUM($AF21:AO21))</f>
        <v>164.5597959602417</v>
      </c>
      <c r="AP14" s="320">
        <f>IPMT(Исх.данные!$D$9,AP41,Исх.данные!$D$11,-SUM($AF21:AP21),,SUM($AF21:AP21))</f>
        <v>162.22135221297984</v>
      </c>
      <c r="AQ14" s="320">
        <f>IPMT(Исх.данные!$D$9,AQ41,Исх.данные!$D$11,-SUM($AF21:AQ21),,SUM($AF21:AQ21))</f>
        <v>159.87338135643054</v>
      </c>
      <c r="AR14" s="320">
        <f>IPMT(Исх.данные!$D$9,AR41,Исх.данные!$D$11,-SUM($AF21:AR21),,SUM($AF21:AR21))</f>
        <v>157.5158445759713</v>
      </c>
      <c r="AS14" s="320">
        <f>IPMT(Исх.данные!$D$9,AS41,Исх.данные!$D$11,-SUM($AF21:AS21),,SUM($AF21:AS21))</f>
        <v>155.14870289884391</v>
      </c>
      <c r="AT14" s="320">
        <f>IPMT(Исх.данные!$D$9,AT41,Исх.данные!$D$11,-SUM($AF21:AT21),,SUM($AF21:AT21))</f>
        <v>152.77191719351049</v>
      </c>
      <c r="AU14" s="320">
        <f>IPMT(Исх.данные!$D$9,AU41,Исх.данные!$D$11,-SUM($AF21:AU21),,SUM($AF21:AU21))</f>
        <v>150.38544816900634</v>
      </c>
      <c r="AV14" s="320">
        <f>IPMT(Исх.данные!$D$9,AV41,Исх.данные!$D$11,-SUM($AF21:AV21),,SUM($AF21:AV21))</f>
        <v>147.98925637429051</v>
      </c>
      <c r="AW14" s="320">
        <f>IPMT(Исх.данные!$D$9,AW41,Исх.данные!$D$11,-SUM($AF21:AW21),,SUM($AF21:AW21))</f>
        <v>145.58330219759364</v>
      </c>
      <c r="AX14" s="320">
        <f>IPMT(Исх.данные!$D$9,AX41,Исх.данные!$D$11,-SUM($AF21:AX21),,SUM($AF21:AX21))</f>
        <v>143.16754586576315</v>
      </c>
      <c r="AY14" s="320">
        <f>IPMT(Исх.данные!$D$9,AY41,Исх.данные!$D$11,-SUM($AF21:AY21),,SUM($AF21:AY21))</f>
        <v>140.7419474436056</v>
      </c>
      <c r="AZ14" s="320">
        <f>IPMT(Исх.данные!$D$9,AZ41,Исх.данные!$D$11,-SUM($AF21:AZ21),,SUM($AF21:AZ21))</f>
        <v>138.30646683322681</v>
      </c>
      <c r="BA14" s="320">
        <f>IPMT(Исх.данные!$D$9,BA41,Исх.данные!$D$11,-SUM($AF21:BA21),,SUM($AF21:BA21))</f>
        <v>135.86106377336864</v>
      </c>
      <c r="BB14" s="320">
        <f>IPMT(Исх.данные!$D$9,BB41,Исх.данные!$D$11,-SUM($AF21:BB21),,SUM($AF21:BB21))</f>
        <v>133.40569783874366</v>
      </c>
      <c r="BC14" s="320">
        <f>IPMT(Исх.данные!$D$9,BC41,Исх.данные!$D$11,-SUM($AF21:BC21),,SUM($AF21:BC21))</f>
        <v>130.94032843936694</v>
      </c>
      <c r="BD14" s="320">
        <f>IPMT(Исх.данные!$D$9,BD41,Исх.данные!$D$11,-SUM($AF21:BD21),,SUM($AF21:BD21))</f>
        <v>128.46491481988468</v>
      </c>
      <c r="BE14" s="320">
        <f>IPMT(Исх.данные!$D$9,BE41,Исх.данные!$D$11,-SUM($AF21:BE21),,SUM($AF21:BE21))</f>
        <v>125.97941605890095</v>
      </c>
      <c r="BF14" s="320">
        <f>IPMT(Исх.данные!$D$9,BF41,Исх.данные!$D$11,-SUM($AF21:BF21),,SUM($AF21:BF21))</f>
        <v>123.48379106830087</v>
      </c>
      <c r="BG14" s="320">
        <f>IPMT(Исх.данные!$D$9,BG41,Исх.данные!$D$11,-SUM($AF21:BG21),,SUM($AF21:BG21))</f>
        <v>120.97799859257151</v>
      </c>
      <c r="BH14" s="320">
        <f>IPMT(Исх.данные!$D$9,BH41,Исх.данные!$D$11,-SUM($AF21:BH21),,SUM($AF21:BH21))</f>
        <v>118.4619972081199</v>
      </c>
      <c r="BI14" s="320">
        <f>IPMT(Исх.данные!$D$9,BI41,Исх.данные!$D$11,-SUM($AF21:BI21),,SUM($AF21:BI21))</f>
        <v>115.93574532258818</v>
      </c>
      <c r="BJ14" s="320">
        <f>IPMT(Исх.данные!$D$9,BJ41,Исх.данные!$D$11,-SUM($AF21:BJ21),,SUM($AF21:BJ21))</f>
        <v>113.39920117416615</v>
      </c>
      <c r="BK14" s="320">
        <f>IPMT(Исх.данные!$D$9,BK41,Исх.данные!$D$11,-SUM($AF21:BK21),,SUM($AF21:BK21))</f>
        <v>110.85232283090076</v>
      </c>
      <c r="BL14" s="320">
        <f>IPMT(Исх.данные!$D$9,BL41,Исх.данные!$D$11,-SUM($AF21:BL21),,SUM($AF21:BL21))</f>
        <v>108.29506819000299</v>
      </c>
      <c r="BM14" s="320">
        <f>IPMT(Исх.данные!$D$9,BM41,Исх.данные!$D$11,-SUM($AF21:BM21),,SUM($AF21:BM21))</f>
        <v>105.72739497715192</v>
      </c>
      <c r="BN14" s="320">
        <f>IPMT(Исх.данные!$D$9,BN41,Исх.данные!$D$11,-SUM($AF21:BN21),,SUM($AF21:BN21))</f>
        <v>103.14926074579573</v>
      </c>
      <c r="BO14" s="320">
        <f>IPMT(Исх.данные!$D$9,BO41,Исх.данные!$D$11,-SUM($AF21:BO21),,SUM($AF21:BO21))</f>
        <v>100.56062287645013</v>
      </c>
      <c r="BP14" s="320">
        <f>IPMT(Исх.данные!$D$9,BP41,Исх.данные!$D$11,-SUM($AF21:BP21),,SUM($AF21:BP21))</f>
        <v>97.961438575993768</v>
      </c>
      <c r="BQ14" s="320">
        <f>IPMT(Исх.данные!$D$9,BQ41,Исх.данные!$D$11,-SUM($AF21:BQ21),,SUM($AF21:BQ21))</f>
        <v>95.351664876960839</v>
      </c>
      <c r="BR14" s="320">
        <f>IPMT(Исх.данные!$D$9,BR41,Исх.данные!$D$11,-SUM($AF21:BR21),,SUM($AF21:BR21))</f>
        <v>92.731258636830745</v>
      </c>
      <c r="BS14" s="320">
        <f>IPMT(Исх.данные!$D$9,BS41,Исх.данные!$D$11,-SUM($AF21:BS21),,SUM($AF21:BS21))</f>
        <v>90.100176537314908</v>
      </c>
      <c r="BT14" s="320">
        <f>IPMT(Исх.данные!$D$9,BT41,Исх.данные!$D$11,-SUM($AF21:BT21),,SUM($AF21:BT21))</f>
        <v>87.458375083640718</v>
      </c>
      <c r="BU14" s="320">
        <f>IPMT(Исх.данные!$D$9,BU41,Исх.данные!$D$11,-SUM($AF21:BU21),,SUM($AF21:BU21))</f>
        <v>84.805810603832427</v>
      </c>
      <c r="BV14" s="320">
        <f>IPMT(Исх.данные!$D$9,BV41,Исх.данные!$D$11,-SUM($AF21:BV21),,SUM($AF21:BV21))</f>
        <v>82.142439247989287</v>
      </c>
      <c r="BW14" s="320">
        <f>IPMT(Исх.данные!$D$9,BW41,Исх.данные!$D$11,-SUM($AF21:BW21),,SUM($AF21:BW21))</f>
        <v>79.468216987560623</v>
      </c>
      <c r="BX14" s="320">
        <f>IPMT(Исх.данные!$D$9,BX41,Исх.данные!$D$11,-SUM($AF21:BX21),,SUM($AF21:BX21))</f>
        <v>76.783099614617967</v>
      </c>
      <c r="BY14" s="320">
        <f>IPMT(Исх.данные!$D$9,BY41,Исх.данные!$D$11,-SUM($AF21:BY21),,SUM($AF21:BY21))</f>
        <v>74.087042741124336</v>
      </c>
      <c r="BZ14" s="320">
        <f>IPMT(Исх.данные!$D$9,BZ41,Исх.данные!$D$11,-SUM($AF21:BZ21),,SUM($AF21:BZ21))</f>
        <v>71.38000179820034</v>
      </c>
      <c r="CA14" s="320">
        <f>IPMT(Исх.данные!$D$9,CA41,Исх.данные!$D$11,-SUM($AF21:CA21),,SUM($AF21:CA21))</f>
        <v>68.661932035387451</v>
      </c>
      <c r="CB14" s="320">
        <f>IPMT(Исх.данные!$D$9,CB41,Исх.данные!$D$11,-SUM($AF21:CB21),,SUM($AF21:CB21))</f>
        <v>65.932788519908286</v>
      </c>
      <c r="CC14" s="320">
        <f>IPMT(Исх.данные!$D$9,CC41,Исх.данные!$D$11,-SUM($AF21:CC21),,SUM($AF21:CC21))</f>
        <v>63.192526135923707</v>
      </c>
      <c r="CD14" s="320">
        <f>IPMT(Исх.данные!$D$9,CD41,Исх.данные!$D$11,-SUM($AF21:CD21),,SUM($AF21:CD21))</f>
        <v>60.441099583787107</v>
      </c>
      <c r="CE14" s="320">
        <f>IPMT(Исх.данные!$D$9,CE41,Исх.данные!$D$11,-SUM($AF21:CE21),,SUM($AF21:CE21))</f>
        <v>57.678463379295479</v>
      </c>
      <c r="CF14" s="320">
        <f>IPMT(Исх.данные!$D$9,CF41,Исх.данные!$D$11,-SUM($AF21:CF21),,SUM($AF21:CF21))</f>
        <v>54.904571852937572</v>
      </c>
      <c r="CG14" s="320">
        <f>IPMT(Исх.данные!$D$9,CG41,Исх.данные!$D$11,-SUM($AF21:CG21),,SUM($AF21:CG21))</f>
        <v>52.119379149138865</v>
      </c>
      <c r="CH14" s="320">
        <f>IPMT(Исх.данные!$D$9,CH41,Исх.данные!$D$11,-SUM($AF21:CH21),,SUM($AF21:CH21))</f>
        <v>49.322839225503571</v>
      </c>
      <c r="CI14" s="320">
        <f>IPMT(Исх.данные!$D$9,CI41,Исх.данные!$D$11,-SUM($AF21:CI21),,SUM($AF21:CI21))</f>
        <v>46.51490585205346</v>
      </c>
      <c r="CJ14" s="320">
        <f>IPMT(Исх.данные!$D$9,CJ41,Исх.данные!$D$11,-SUM($AF21:CJ21),,SUM($AF21:CJ21))</f>
        <v>43.695532610463687</v>
      </c>
      <c r="CK14" s="320">
        <f>IPMT(Исх.данные!$D$9,CK41,Исх.данные!$D$11,-SUM($AF21:CK21),,SUM($AF21:CK21))</f>
        <v>40.864672893295371</v>
      </c>
      <c r="CL14" s="320">
        <f>IPMT(Исх.данные!$D$9,CL41,Исх.данные!$D$11,-SUM($AF21:CL21),,SUM($AF21:CL21))</f>
        <v>38.022279903225161</v>
      </c>
      <c r="CM14" s="320">
        <f>IPMT(Исх.данные!$D$9,CM41,Исх.данные!$D$11,-SUM($AF21:CM21),,SUM($AF21:CM21))</f>
        <v>35.168306652271632</v>
      </c>
      <c r="CN14" s="320">
        <v>0</v>
      </c>
      <c r="CO14" s="320">
        <v>0</v>
      </c>
      <c r="CP14" s="320">
        <v>0</v>
      </c>
      <c r="CQ14" s="320">
        <v>0</v>
      </c>
      <c r="CR14" s="320">
        <v>0</v>
      </c>
      <c r="CS14" s="320">
        <v>0</v>
      </c>
      <c r="CT14" s="320">
        <v>0</v>
      </c>
      <c r="CU14" s="320">
        <v>0</v>
      </c>
      <c r="CV14" s="320">
        <v>0</v>
      </c>
      <c r="CW14" s="320">
        <v>0</v>
      </c>
      <c r="CX14" s="320">
        <v>0</v>
      </c>
      <c r="CY14" s="320">
        <v>0</v>
      </c>
      <c r="CZ14" s="320">
        <v>0</v>
      </c>
      <c r="DA14" s="320">
        <v>0</v>
      </c>
      <c r="DB14" s="320">
        <v>0</v>
      </c>
      <c r="DC14" s="320">
        <v>0</v>
      </c>
      <c r="DD14" s="320">
        <v>0</v>
      </c>
      <c r="DE14" s="320">
        <v>0</v>
      </c>
      <c r="DF14" s="320">
        <v>0</v>
      </c>
      <c r="DG14" s="320">
        <v>0</v>
      </c>
      <c r="DH14" s="320">
        <v>0</v>
      </c>
      <c r="DI14" s="320">
        <v>0</v>
      </c>
      <c r="DJ14" s="320">
        <v>0</v>
      </c>
      <c r="DK14" s="320">
        <v>0</v>
      </c>
      <c r="DL14" s="320">
        <v>0</v>
      </c>
      <c r="DM14" s="320">
        <v>0</v>
      </c>
      <c r="DN14" s="320">
        <v>0</v>
      </c>
      <c r="DO14" s="320">
        <v>0</v>
      </c>
      <c r="DP14" s="320">
        <v>0</v>
      </c>
      <c r="DQ14" s="320">
        <v>0</v>
      </c>
      <c r="DR14" s="320">
        <v>0</v>
      </c>
      <c r="DS14" s="320">
        <v>0</v>
      </c>
      <c r="DT14" s="320">
        <v>0</v>
      </c>
      <c r="DU14" s="320">
        <v>0</v>
      </c>
      <c r="DV14" s="320">
        <v>0</v>
      </c>
      <c r="DW14" s="320">
        <v>0</v>
      </c>
      <c r="DX14" s="320">
        <v>0</v>
      </c>
      <c r="DY14" s="320">
        <v>0</v>
      </c>
      <c r="DZ14" s="320">
        <v>0</v>
      </c>
      <c r="EA14" s="320">
        <v>0</v>
      </c>
      <c r="EB14" s="320">
        <v>0</v>
      </c>
      <c r="EC14" s="320">
        <v>0</v>
      </c>
      <c r="ED14" s="320">
        <v>0</v>
      </c>
    </row>
    <row r="15" spans="2:134" s="60" customFormat="1" ht="12.6" customHeight="1">
      <c r="B15" s="319" t="s">
        <v>410</v>
      </c>
      <c r="C15" s="320">
        <v>0</v>
      </c>
      <c r="D15" s="320">
        <v>0</v>
      </c>
      <c r="E15" s="320">
        <v>0</v>
      </c>
      <c r="F15" s="320">
        <v>0</v>
      </c>
      <c r="G15" s="320">
        <v>0</v>
      </c>
      <c r="H15" s="320">
        <v>0</v>
      </c>
      <c r="I15" s="320">
        <v>0</v>
      </c>
      <c r="J15" s="320">
        <v>0</v>
      </c>
      <c r="K15" s="320">
        <v>0</v>
      </c>
      <c r="L15" s="320">
        <v>0</v>
      </c>
      <c r="M15" s="320">
        <v>0</v>
      </c>
      <c r="N15" s="320">
        <v>0</v>
      </c>
      <c r="O15" s="320">
        <v>0</v>
      </c>
      <c r="P15" s="320">
        <v>0</v>
      </c>
      <c r="Q15" s="320">
        <v>0</v>
      </c>
      <c r="R15" s="320">
        <v>0</v>
      </c>
      <c r="S15" s="320">
        <v>0</v>
      </c>
      <c r="T15" s="320">
        <v>0</v>
      </c>
      <c r="U15" s="320">
        <v>0</v>
      </c>
      <c r="V15" s="320">
        <v>0</v>
      </c>
      <c r="W15" s="320">
        <v>0</v>
      </c>
      <c r="X15" s="320">
        <v>0</v>
      </c>
      <c r="Y15" s="320">
        <v>0</v>
      </c>
      <c r="Z15" s="320">
        <v>0</v>
      </c>
      <c r="AA15" s="320">
        <v>0</v>
      </c>
      <c r="AB15" s="320">
        <v>0</v>
      </c>
      <c r="AC15" s="320">
        <v>0</v>
      </c>
      <c r="AD15" s="320">
        <v>0</v>
      </c>
      <c r="AE15" s="320">
        <v>0</v>
      </c>
      <c r="AF15" s="320">
        <v>0</v>
      </c>
      <c r="AG15" s="320">
        <v>0</v>
      </c>
      <c r="AH15" s="320">
        <v>0</v>
      </c>
      <c r="AI15" s="320">
        <v>0</v>
      </c>
      <c r="AJ15" s="320">
        <v>0</v>
      </c>
      <c r="AK15" s="320">
        <v>0</v>
      </c>
      <c r="AL15" s="320">
        <v>0</v>
      </c>
      <c r="AM15" s="320">
        <v>0</v>
      </c>
      <c r="AN15" s="320">
        <v>0</v>
      </c>
      <c r="AO15" s="320">
        <v>0</v>
      </c>
      <c r="AP15" s="320">
        <v>0</v>
      </c>
      <c r="AQ15" s="320">
        <v>0</v>
      </c>
      <c r="AR15" s="320">
        <f>IPMT(Исх.данные!$D$9,AR42,Исх.данные!$D$11,-SUM($AR22:AR22),,SUM($AR22:AR22))</f>
        <v>0</v>
      </c>
      <c r="AS15" s="320">
        <f>IPMT(Исх.данные!$D$9,AS42,Исх.данные!$D$11,-SUM($AR22:AS22),,SUM($AR22:AS22))</f>
        <v>80.488749475086337</v>
      </c>
      <c r="AT15" s="320">
        <f>IPMT(Исх.данные!$D$9,AT42,Исх.данные!$D$11,-SUM($AR22:AT22),,SUM($AR22:AT22))</f>
        <v>119.2391446264199</v>
      </c>
      <c r="AU15" s="320">
        <f>IPMT(Исх.данные!$D$9,AU42,Исх.данные!$D$11,-SUM($AR22:AU22),,SUM($AR22:AU22))</f>
        <v>156.98543784326117</v>
      </c>
      <c r="AV15" s="320">
        <f>IPMT(Исх.данные!$D$9,AV42,Исх.данные!$D$11,-SUM($AR22:AV22),,SUM($AR22:AV22))</f>
        <v>193.72150113818367</v>
      </c>
      <c r="AW15" s="320">
        <f>IPMT(Исх.данные!$D$9,AW42,Исх.данные!$D$11,-SUM($AR22:AW22),,SUM($AR22:AW22))</f>
        <v>191.20097771497743</v>
      </c>
      <c r="AX15" s="320">
        <f>IPMT(Исх.данные!$D$9,AX42,Исх.данные!$D$11,-SUM($AR22:AX22),,SUM($AR22:AX22))</f>
        <v>188.67018536734548</v>
      </c>
      <c r="AY15" s="320">
        <f>IPMT(Исх.данные!$D$9,AY42,Исх.данные!$D$11,-SUM($AR22:AY22),,SUM($AR22:AY22))</f>
        <v>186.12908225841861</v>
      </c>
      <c r="AZ15" s="320">
        <f>IPMT(Исх.данные!$D$9,AZ42,Исх.данные!$D$11,-SUM($AR22:AZ22),,SUM($AR22:AZ22))</f>
        <v>183.57762638087888</v>
      </c>
      <c r="BA15" s="320">
        <f>IPMT(Исх.данные!$D$9,BA42,Исх.данные!$D$11,-SUM($AR22:BA22),,SUM($AR22:BA22))</f>
        <v>181.0157755562656</v>
      </c>
      <c r="BB15" s="320">
        <f>IPMT(Исх.данные!$D$9,BB42,Исх.данные!$D$11,-SUM($AR22:BB22),,SUM($AR22:BB22))</f>
        <v>178.44348743427753</v>
      </c>
      <c r="BC15" s="320">
        <f>IPMT(Исх.данные!$D$9,BC42,Исх.данные!$D$11,-SUM($AR22:BC22),,SUM($AR22:BC22))</f>
        <v>175.86071949207331</v>
      </c>
      <c r="BD15" s="320">
        <f>IPMT(Исх.данные!$D$9,BD42,Исх.данные!$D$11,-SUM($AR22:BD22),,SUM($AR22:BD22))</f>
        <v>173.26742903356813</v>
      </c>
      <c r="BE15" s="320">
        <f>IPMT(Исх.данные!$D$9,BE42,Исх.данные!$D$11,-SUM($AR22:BE22),,SUM($AR22:BE22))</f>
        <v>170.66357318872804</v>
      </c>
      <c r="BF15" s="320">
        <f>IPMT(Исх.данные!$D$9,BF42,Исх.данные!$D$11,-SUM($AR22:BF22),,SUM($AR22:BF22))</f>
        <v>168.04910891286127</v>
      </c>
      <c r="BG15" s="320">
        <f>IPMT(Исх.данные!$D$9,BG42,Исх.данные!$D$11,-SUM($AR22:BG22),,SUM($AR22:BG22))</f>
        <v>165.42399298590669</v>
      </c>
      <c r="BH15" s="320">
        <f>IPMT(Исх.данные!$D$9,BH42,Исх.данные!$D$11,-SUM($AR22:BH22),,SUM($AR22:BH22))</f>
        <v>162.78818201171927</v>
      </c>
      <c r="BI15" s="320">
        <f>IPMT(Исх.данные!$D$9,BI42,Исх.данные!$D$11,-SUM($AR22:BI22),,SUM($AR22:BI22))</f>
        <v>160.14163241735272</v>
      </c>
      <c r="BJ15" s="320">
        <f>IPMT(Исх.данные!$D$9,BJ42,Исх.данные!$D$11,-SUM($AR22:BJ22),,SUM($AR22:BJ22))</f>
        <v>157.4843004523392</v>
      </c>
      <c r="BK15" s="320">
        <f>IPMT(Исх.данные!$D$9,BK42,Исх.данные!$D$11,-SUM($AR22:BK22),,SUM($AR22:BK22))</f>
        <v>154.81614218796591</v>
      </c>
      <c r="BL15" s="320">
        <f>IPMT(Исх.данные!$D$9,BL42,Исх.данные!$D$11,-SUM($AR22:BL22),,SUM($AR22:BL22))</f>
        <v>152.13711351654925</v>
      </c>
      <c r="BM15" s="320">
        <f>IPMT(Исх.данные!$D$9,BM42,Исх.данные!$D$11,-SUM($AR22:BM22),,SUM($AR22:BM22))</f>
        <v>149.44717015070526</v>
      </c>
      <c r="BN15" s="320">
        <f>IPMT(Исх.данные!$D$9,BN42,Исх.данные!$D$11,-SUM($AR22:BN22),,SUM($AR22:BN22))</f>
        <v>146.74626762261778</v>
      </c>
      <c r="BO15" s="320">
        <f>IPMT(Исх.данные!$D$9,BO42,Исх.данные!$D$11,-SUM($AR22:BO22),,SUM($AR22:BO22))</f>
        <v>144.03436128330338</v>
      </c>
      <c r="BP15" s="320">
        <f>IPMT(Исх.данные!$D$9,BP42,Исх.данные!$D$11,-SUM($AR22:BP22),,SUM($AR22:BP22))</f>
        <v>141.31140630187292</v>
      </c>
      <c r="BQ15" s="320">
        <f>IPMT(Исх.данные!$D$9,BQ42,Исх.данные!$D$11,-SUM($AR22:BQ22),,SUM($AR22:BQ22))</f>
        <v>138.57735766479084</v>
      </c>
      <c r="BR15" s="320">
        <f>IPMT(Исх.данные!$D$9,BR42,Исх.данные!$D$11,-SUM($AR22:BR22),,SUM($AR22:BR22))</f>
        <v>135.83217017513076</v>
      </c>
      <c r="BS15" s="320">
        <f>IPMT(Исх.данные!$D$9,BS42,Исх.данные!$D$11,-SUM($AR22:BS22),,SUM($AR22:BS22))</f>
        <v>133.07579845182846</v>
      </c>
      <c r="BT15" s="320">
        <f>IPMT(Исх.данные!$D$9,BT42,Исх.данные!$D$11,-SUM($AR22:BT22),,SUM($AR22:BT22))</f>
        <v>130.30819692893166</v>
      </c>
      <c r="BU15" s="320">
        <f>IPMT(Исх.данные!$D$9,BU42,Исх.данные!$D$11,-SUM($AR22:BU22),,SUM($AR22:BU22))</f>
        <v>127.5293198548468</v>
      </c>
      <c r="BV15" s="320">
        <f>IPMT(Исх.данные!$D$9,BV42,Исх.данные!$D$11,-SUM($AR22:BV22),,SUM($AR22:BV22))</f>
        <v>124.73912129158256</v>
      </c>
      <c r="BW15" s="320">
        <f>IPMT(Исх.данные!$D$9,BW42,Исх.данные!$D$11,-SUM($AR22:BW22),,SUM($AR22:BW22))</f>
        <v>121.93755511399063</v>
      </c>
      <c r="BX15" s="320">
        <f>IPMT(Исх.данные!$D$9,BX42,Исх.данные!$D$11,-SUM($AR22:BX22),,SUM($AR22:BX22))</f>
        <v>119.12457500900311</v>
      </c>
      <c r="BY15" s="320">
        <f>IPMT(Исх.данные!$D$9,BY42,Исх.данные!$D$11,-SUM($AR22:BY22),,SUM($AR22:BY22))</f>
        <v>116.30013447486692</v>
      </c>
      <c r="BZ15" s="320">
        <f>IPMT(Исх.данные!$D$9,BZ42,Исх.данные!$D$11,-SUM($AR22:BZ22),,SUM($AR22:BZ22))</f>
        <v>113.46418682037512</v>
      </c>
      <c r="CA15" s="320">
        <f>IPMT(Исх.данные!$D$9,CA42,Исх.данные!$D$11,-SUM($AR22:CA22),,SUM($AR22:CA22))</f>
        <v>110.61668516409496</v>
      </c>
      <c r="CB15" s="320">
        <f>IPMT(Исх.данные!$D$9,CB42,Исх.данные!$D$11,-SUM($AR22:CB22),,SUM($AR22:CB22))</f>
        <v>107.75758243359297</v>
      </c>
      <c r="CC15" s="320">
        <f>IPMT(Исх.данные!$D$9,CC42,Исх.данные!$D$11,-SUM($AR22:CC22),,SUM($AR22:CC22))</f>
        <v>104.88683136465674</v>
      </c>
      <c r="CD15" s="320">
        <f>IPMT(Исх.данные!$D$9,CD42,Исх.данные!$D$11,-SUM($AR22:CD22),,SUM($AR22:CD22))</f>
        <v>102.00438450051367</v>
      </c>
      <c r="CE15" s="320">
        <f>IPMT(Исх.данные!$D$9,CE42,Исх.данные!$D$11,-SUM($AR22:CE22),,SUM($AR22:CE22))</f>
        <v>99.110194191046247</v>
      </c>
      <c r="CF15" s="320">
        <f>IPMT(Исх.данные!$D$9,CF42,Исх.данные!$D$11,-SUM($AR22:CF22),,SUM($AR22:CF22))</f>
        <v>96.204212592004637</v>
      </c>
      <c r="CG15" s="320">
        <f>IPMT(Исх.данные!$D$9,CG42,Исх.данные!$D$11,-SUM($AR22:CG22),,SUM($AR22:CG22))</f>
        <v>93.286391664215529</v>
      </c>
      <c r="CH15" s="320">
        <f>IPMT(Исх.данные!$D$9,CH42,Исх.данные!$D$11,-SUM($AR22:CH22),,SUM($AR22:CH22))</f>
        <v>90.356683172788081</v>
      </c>
      <c r="CI15" s="320">
        <f>IPMT(Исх.данные!$D$9,CI42,Исх.данные!$D$11,-SUM($AR22:CI22),,SUM($AR22:CI22))</f>
        <v>87.415038686316549</v>
      </c>
      <c r="CJ15" s="320">
        <f>IPMT(Исх.данные!$D$9,CJ42,Исх.данные!$D$11,-SUM($AR22:CJ22),,SUM($AR22:CJ22))</f>
        <v>84.461409576079632</v>
      </c>
      <c r="CK15" s="320">
        <f>IPMT(Исх.данные!$D$9,CK42,Исх.данные!$D$11,-SUM($AR22:CK22),,SUM($AR22:CK22))</f>
        <v>81.49574701523666</v>
      </c>
      <c r="CL15" s="320">
        <f>IPMT(Исх.данные!$D$9,CL42,Исх.данные!$D$11,-SUM($AR22:CL22),,SUM($AR22:CL22))</f>
        <v>78.518001978020237</v>
      </c>
      <c r="CM15" s="320">
        <f>IPMT(Исх.данные!$D$9,CM42,Исх.данные!$D$11,-SUM($AR22:CM22),,SUM($AR22:CM22))</f>
        <v>75.52812523892608</v>
      </c>
      <c r="CN15" s="320">
        <f>IPMT(Исх.данные!$D$9,CN42,Исх.данные!$D$11,-SUM($AR22:CN22),,SUM($AR22:CN22))</f>
        <v>72.526067371899003</v>
      </c>
      <c r="CO15" s="320">
        <f>IPMT(Исх.данные!$D$9,CO42,Исх.данные!$D$11,-SUM($AR22:CO22),,SUM($AR22:CO22))</f>
        <v>69.511778749515969</v>
      </c>
      <c r="CP15" s="320">
        <f>IPMT(Исх.данные!$D$9,CP42,Исх.данные!$D$11,-SUM($AR22:CP22),,SUM($AR22:CP22))</f>
        <v>66.48520954216572</v>
      </c>
      <c r="CQ15" s="320">
        <f>IPMT(Исх.данные!$D$9,CQ42,Исх.данные!$D$11,-SUM($AR22:CQ22),,SUM($AR22:CQ22))</f>
        <v>63.446309717224928</v>
      </c>
      <c r="CR15" s="320">
        <f>IPMT(Исх.данные!$D$9,CR42,Исх.данные!$D$11,-SUM($AR22:CR22),,SUM($AR22:CR22))</f>
        <v>60.395029038231229</v>
      </c>
      <c r="CS15" s="320">
        <f>IPMT(Исх.данные!$D$9,CS42,Исх.данные!$D$11,-SUM($AR22:CS22),,SUM($AR22:CS22))</f>
        <v>57.331317064052655</v>
      </c>
      <c r="CT15" s="320">
        <f>IPMT(Исх.данные!$D$9,CT42,Исх.данные!$D$11,-SUM($AR22:CT22),,SUM($AR22:CT22))</f>
        <v>54.255123148053833</v>
      </c>
      <c r="CU15" s="320">
        <f>IPMT(Исх.данные!$D$9,CU42,Исх.данные!$D$11,-SUM($AR22:CU22),,SUM($AR22:CU22))</f>
        <v>51.166396437258719</v>
      </c>
      <c r="CV15" s="320">
        <f>IPMT(Исх.данные!$D$9,CV42,Исх.данные!$D$11,-SUM($AR22:CV22),,SUM($AR22:CV22))</f>
        <v>48.065085871509979</v>
      </c>
      <c r="CW15" s="320">
        <f>IPMT(Исх.данные!$D$9,CW42,Исх.данные!$D$11,-SUM($AR22:CW22),,SUM($AR22:CW22))</f>
        <v>44.951140182624833</v>
      </c>
      <c r="CX15" s="320">
        <f>IPMT(Исх.данные!$D$9,CX42,Исх.данные!$D$11,-SUM($AR22:CX22),,SUM($AR22:CX22))</f>
        <v>41.824507893547612</v>
      </c>
      <c r="CY15" s="320">
        <f>IPMT(Исх.данные!$D$9,CY42,Исх.данные!$D$11,-SUM($AR22:CY22),,SUM($AR22:CY22))</f>
        <v>38.685137317498736</v>
      </c>
      <c r="CZ15" s="320">
        <v>0</v>
      </c>
      <c r="DA15" s="320">
        <v>0</v>
      </c>
      <c r="DB15" s="320">
        <v>0</v>
      </c>
      <c r="DC15" s="320">
        <v>0</v>
      </c>
      <c r="DD15" s="320">
        <v>0</v>
      </c>
      <c r="DE15" s="320">
        <v>0</v>
      </c>
      <c r="DF15" s="320">
        <v>0</v>
      </c>
      <c r="DG15" s="320">
        <v>0</v>
      </c>
      <c r="DH15" s="320">
        <v>0</v>
      </c>
      <c r="DI15" s="320">
        <v>0</v>
      </c>
      <c r="DJ15" s="320">
        <v>0</v>
      </c>
      <c r="DK15" s="320">
        <v>0</v>
      </c>
      <c r="DL15" s="320">
        <v>0</v>
      </c>
      <c r="DM15" s="320">
        <v>0</v>
      </c>
      <c r="DN15" s="320">
        <v>0</v>
      </c>
      <c r="DO15" s="320">
        <v>0</v>
      </c>
      <c r="DP15" s="320">
        <v>0</v>
      </c>
      <c r="DQ15" s="320">
        <v>0</v>
      </c>
      <c r="DR15" s="320">
        <v>0</v>
      </c>
      <c r="DS15" s="320">
        <v>0</v>
      </c>
      <c r="DT15" s="320">
        <v>0</v>
      </c>
      <c r="DU15" s="320">
        <v>0</v>
      </c>
      <c r="DV15" s="320">
        <v>0</v>
      </c>
      <c r="DW15" s="320">
        <v>0</v>
      </c>
      <c r="DX15" s="320">
        <v>0</v>
      </c>
      <c r="DY15" s="320">
        <v>0</v>
      </c>
      <c r="DZ15" s="320">
        <v>0</v>
      </c>
      <c r="EA15" s="320">
        <v>0</v>
      </c>
      <c r="EB15" s="320">
        <v>0</v>
      </c>
      <c r="EC15" s="320">
        <v>0</v>
      </c>
      <c r="ED15" s="320">
        <v>0</v>
      </c>
    </row>
    <row r="16" spans="2:134" s="60" customFormat="1" ht="12.6" customHeight="1">
      <c r="B16" s="319" t="s">
        <v>411</v>
      </c>
      <c r="C16" s="320">
        <v>0</v>
      </c>
      <c r="D16" s="320">
        <v>0</v>
      </c>
      <c r="E16" s="320">
        <v>0</v>
      </c>
      <c r="F16" s="320">
        <v>0</v>
      </c>
      <c r="G16" s="320">
        <v>0</v>
      </c>
      <c r="H16" s="320">
        <v>0</v>
      </c>
      <c r="I16" s="320">
        <v>0</v>
      </c>
      <c r="J16" s="320">
        <v>0</v>
      </c>
      <c r="K16" s="320">
        <v>0</v>
      </c>
      <c r="L16" s="320">
        <v>0</v>
      </c>
      <c r="M16" s="320">
        <v>0</v>
      </c>
      <c r="N16" s="320">
        <v>0</v>
      </c>
      <c r="O16" s="320">
        <v>0</v>
      </c>
      <c r="P16" s="320">
        <v>0</v>
      </c>
      <c r="Q16" s="320">
        <v>0</v>
      </c>
      <c r="R16" s="320">
        <v>0</v>
      </c>
      <c r="S16" s="320">
        <v>0</v>
      </c>
      <c r="T16" s="320">
        <v>0</v>
      </c>
      <c r="U16" s="320">
        <v>0</v>
      </c>
      <c r="V16" s="320">
        <v>0</v>
      </c>
      <c r="W16" s="320">
        <v>0</v>
      </c>
      <c r="X16" s="320">
        <v>0</v>
      </c>
      <c r="Y16" s="320">
        <v>0</v>
      </c>
      <c r="Z16" s="320">
        <v>0</v>
      </c>
      <c r="AA16" s="320">
        <v>0</v>
      </c>
      <c r="AB16" s="320">
        <v>0</v>
      </c>
      <c r="AC16" s="320">
        <v>0</v>
      </c>
      <c r="AD16" s="320">
        <v>0</v>
      </c>
      <c r="AE16" s="320">
        <v>0</v>
      </c>
      <c r="AF16" s="320">
        <v>0</v>
      </c>
      <c r="AG16" s="320">
        <v>0</v>
      </c>
      <c r="AH16" s="320">
        <v>0</v>
      </c>
      <c r="AI16" s="320">
        <v>0</v>
      </c>
      <c r="AJ16" s="320">
        <v>0</v>
      </c>
      <c r="AK16" s="320">
        <v>0</v>
      </c>
      <c r="AL16" s="320">
        <v>0</v>
      </c>
      <c r="AM16" s="320">
        <v>0</v>
      </c>
      <c r="AN16" s="320">
        <v>0</v>
      </c>
      <c r="AO16" s="320">
        <v>0</v>
      </c>
      <c r="AP16" s="320">
        <v>0</v>
      </c>
      <c r="AQ16" s="320">
        <v>0</v>
      </c>
      <c r="AR16" s="320">
        <v>0</v>
      </c>
      <c r="AS16" s="320">
        <v>0</v>
      </c>
      <c r="AT16" s="320">
        <v>0</v>
      </c>
      <c r="AU16" s="320">
        <v>0</v>
      </c>
      <c r="AV16" s="320">
        <v>0</v>
      </c>
      <c r="AW16" s="320">
        <v>0</v>
      </c>
      <c r="AX16" s="320">
        <v>0</v>
      </c>
      <c r="AY16" s="320">
        <v>0</v>
      </c>
      <c r="AZ16" s="320">
        <v>0</v>
      </c>
      <c r="BA16" s="320">
        <v>0</v>
      </c>
      <c r="BB16" s="320">
        <v>0</v>
      </c>
      <c r="BC16" s="320">
        <v>0</v>
      </c>
      <c r="BD16" s="320">
        <f>IPMT(Исх.данные!$D$9,BD43,Исх.данные!$D$11,-SUM($BD23:BD23),,SUM($BD23:BD23))</f>
        <v>0</v>
      </c>
      <c r="BE16" s="320">
        <f>IPMT(Исх.данные!$D$9,BE43,Исх.данные!$D$11,-SUM($BD23:BE23),,SUM($BD23:BE23))</f>
        <v>88.537624422595073</v>
      </c>
      <c r="BF16" s="320">
        <f>IPMT(Исх.данные!$D$9,BF43,Исх.данные!$D$11,-SUM($BD23:BF23),,SUM($BD23:BF23))</f>
        <v>131.16305908906205</v>
      </c>
      <c r="BG16" s="320">
        <f>IPMT(Исх.данные!$D$9,BG43,Исх.данные!$D$11,-SUM($BD23:BG23),,SUM($BD23:BG23))</f>
        <v>172.68398162758749</v>
      </c>
      <c r="BH16" s="320">
        <f>IPMT(Исх.данные!$D$9,BH43,Исх.данные!$D$11,-SUM($BD23:BH23),,SUM($BD23:BH23))</f>
        <v>213.09365125200233</v>
      </c>
      <c r="BI16" s="320">
        <f>IPMT(Исх.данные!$D$9,BI43,Исх.данные!$D$11,-SUM($BD23:BI23),,SUM($BD23:BI23))</f>
        <v>210.32107548647548</v>
      </c>
      <c r="BJ16" s="320">
        <f>IPMT(Исх.данные!$D$9,BJ43,Исх.данные!$D$11,-SUM($BD23:BJ23),,SUM($BD23:BJ23))</f>
        <v>207.53720390408031</v>
      </c>
      <c r="BK16" s="320">
        <f>IPMT(Исх.данные!$D$9,BK43,Исх.данные!$D$11,-SUM($BD23:BK23),,SUM($BD23:BK23))</f>
        <v>204.74199048426073</v>
      </c>
      <c r="BL16" s="320">
        <f>IPMT(Исх.данные!$D$9,BL43,Исх.данные!$D$11,-SUM($BD23:BL23),,SUM($BD23:BL23))</f>
        <v>201.93538901896707</v>
      </c>
      <c r="BM16" s="320">
        <f>IPMT(Исх.данные!$D$9,BM43,Исх.данные!$D$11,-SUM($BD23:BM23),,SUM($BD23:BM23))</f>
        <v>199.11735311189244</v>
      </c>
      <c r="BN16" s="320">
        <f>IPMT(Исх.данные!$D$9,BN43,Исх.данные!$D$11,-SUM($BD23:BN23),,SUM($BD23:BN23))</f>
        <v>196.28783617770557</v>
      </c>
      <c r="BO16" s="320">
        <f>IPMT(Исх.данные!$D$9,BO43,Исх.данные!$D$11,-SUM($BD23:BO23),,SUM($BD23:BO23))</f>
        <v>193.44679144128091</v>
      </c>
      <c r="BP16" s="320">
        <f>IPMT(Исх.данные!$D$9,BP43,Исх.данные!$D$11,-SUM($BD23:BP23),,SUM($BD23:BP23))</f>
        <v>190.59417193692522</v>
      </c>
      <c r="BQ16" s="320">
        <f>IPMT(Исх.данные!$D$9,BQ43,Исх.данные!$D$11,-SUM($BD23:BQ23),,SUM($BD23:BQ23))</f>
        <v>187.7299305076011</v>
      </c>
      <c r="BR16" s="320">
        <f>IPMT(Исх.данные!$D$9,BR43,Исх.данные!$D$11,-SUM($BD23:BR23),,SUM($BD23:BR23))</f>
        <v>184.85401980414767</v>
      </c>
      <c r="BS16" s="320">
        <f>IPMT(Исх.данные!$D$9,BS43,Исх.данные!$D$11,-SUM($BD23:BS23),,SUM($BD23:BS23))</f>
        <v>181.96639228449763</v>
      </c>
      <c r="BT16" s="320">
        <f>IPMT(Исх.данные!$D$9,BT43,Исх.данные!$D$11,-SUM($BD23:BT23),,SUM($BD23:BT23))</f>
        <v>179.06700021289146</v>
      </c>
      <c r="BU16" s="320">
        <f>IPMT(Исх.данные!$D$9,BU43,Исх.данные!$D$11,-SUM($BD23:BU23),,SUM($BD23:BU23))</f>
        <v>176.15579565908828</v>
      </c>
      <c r="BV16" s="320">
        <f>IPMT(Исх.данные!$D$9,BV43,Исх.данные!$D$11,-SUM($BD23:BV23),,SUM($BD23:BV23))</f>
        <v>173.23273049757336</v>
      </c>
      <c r="BW16" s="320">
        <f>IPMT(Исх.данные!$D$9,BW43,Исх.данные!$D$11,-SUM($BD23:BW23),,SUM($BD23:BW23))</f>
        <v>170.29775640676274</v>
      </c>
      <c r="BX16" s="320">
        <f>IPMT(Исх.данные!$D$9,BX43,Исх.данные!$D$11,-SUM($BD23:BX23),,SUM($BD23:BX23))</f>
        <v>167.35082486820443</v>
      </c>
      <c r="BY16" s="320">
        <f>IPMT(Исх.данные!$D$9,BY43,Исх.данные!$D$11,-SUM($BD23:BY23),,SUM($BD23:BY23))</f>
        <v>164.39188716577601</v>
      </c>
      <c r="BZ16" s="320">
        <f>IPMT(Исх.данные!$D$9,BZ43,Исх.данные!$D$11,-SUM($BD23:BZ23),,SUM($BD23:BZ23))</f>
        <v>161.4208943848798</v>
      </c>
      <c r="CA16" s="320">
        <f>IPMT(Исх.данные!$D$9,CA43,Исх.данные!$D$11,-SUM($BD23:CA23),,SUM($BD23:CA23))</f>
        <v>158.43779741163397</v>
      </c>
      <c r="CB16" s="320">
        <f>IPMT(Исх.данные!$D$9,CB43,Исх.данные!$D$11,-SUM($BD23:CB23),,SUM($BD23:CB23))</f>
        <v>155.44254693206042</v>
      </c>
      <c r="CC16" s="320">
        <f>IPMT(Исх.данные!$D$9,CC43,Исх.данные!$D$11,-SUM($BD23:CC23),,SUM($BD23:CC23))</f>
        <v>152.43509343127013</v>
      </c>
      <c r="CD16" s="320">
        <f>IPMT(Исх.данные!$D$9,CD43,Исх.данные!$D$11,-SUM($BD23:CD23),,SUM($BD23:CD23))</f>
        <v>149.415387192644</v>
      </c>
      <c r="CE16" s="320">
        <f>IPMT(Исх.данные!$D$9,CE43,Исх.данные!$D$11,-SUM($BD23:CE23),,SUM($BD23:CE23))</f>
        <v>146.38337829701152</v>
      </c>
      <c r="CF16" s="320">
        <f>IPMT(Исх.данные!$D$9,CF43,Исх.данные!$D$11,-SUM($BD23:CF23),,SUM($BD23:CF23))</f>
        <v>143.33901662182507</v>
      </c>
      <c r="CG16" s="320">
        <f>IPMT(Исх.данные!$D$9,CG43,Исх.данные!$D$11,-SUM($BD23:CG23),,SUM($BD23:CG23))</f>
        <v>140.28225184033167</v>
      </c>
      <c r="CH16" s="320">
        <f>IPMT(Исх.данные!$D$9,CH43,Исх.данные!$D$11,-SUM($BD23:CH23),,SUM($BD23:CH23))</f>
        <v>137.213033420741</v>
      </c>
      <c r="CI16" s="320">
        <f>IPMT(Исх.данные!$D$9,CI43,Исх.данные!$D$11,-SUM($BD23:CI23),,SUM($BD23:CI23))</f>
        <v>134.13131062538989</v>
      </c>
      <c r="CJ16" s="320">
        <f>IPMT(Исх.данные!$D$9,CJ43,Исх.данные!$D$11,-SUM($BD23:CJ23),,SUM($BD23:CJ23))</f>
        <v>131.03703250990358</v>
      </c>
      <c r="CK16" s="320">
        <f>IPMT(Исх.данные!$D$9,CK43,Исх.данные!$D$11,-SUM($BD23:CK23),,SUM($BD23:CK23))</f>
        <v>127.9301479223538</v>
      </c>
      <c r="CL16" s="320">
        <f>IPMT(Исх.данные!$D$9,CL43,Исх.данные!$D$11,-SUM($BD23:CL23),,SUM($BD23:CL23))</f>
        <v>124.81060550241281</v>
      </c>
      <c r="CM16" s="320">
        <f>IPMT(Исх.данные!$D$9,CM43,Исх.данные!$D$11,-SUM($BD23:CM23),,SUM($BD23:CM23))</f>
        <v>121.67835368050461</v>
      </c>
      <c r="CN16" s="320">
        <f>IPMT(Исх.данные!$D$9,CN43,Исх.данные!$D$11,-SUM($BD23:CN23),,SUM($BD23:CN23))</f>
        <v>118.53334067695243</v>
      </c>
      <c r="CO16" s="320">
        <f>IPMT(Исх.данные!$D$9,CO43,Исх.данные!$D$11,-SUM($BD23:CO23),,SUM($BD23:CO23))</f>
        <v>115.37551450112259</v>
      </c>
      <c r="CP16" s="320">
        <f>IPMT(Исх.данные!$D$9,CP43,Исх.данные!$D$11,-SUM($BD23:CP23),,SUM($BD23:CP23))</f>
        <v>112.20482295056519</v>
      </c>
      <c r="CQ16" s="320">
        <f>IPMT(Исх.данные!$D$9,CQ43,Исх.данные!$D$11,-SUM($BD23:CQ23),,SUM($BD23:CQ23))</f>
        <v>109.02121361015104</v>
      </c>
      <c r="CR16" s="320">
        <f>IPMT(Исх.данные!$D$9,CR43,Исх.данные!$D$11,-SUM($BD23:CR23),,SUM($BD23:CR23))</f>
        <v>105.82463385120525</v>
      </c>
      <c r="CS16" s="320">
        <f>IPMT(Исх.данные!$D$9,CS43,Исх.данные!$D$11,-SUM($BD23:CS23),,SUM($BD23:CS23))</f>
        <v>102.61503083063722</v>
      </c>
      <c r="CT16" s="320">
        <f>IPMT(Исх.данные!$D$9,CT43,Исх.данные!$D$11,-SUM($BD23:CT23),,SUM($BD23:CT23))</f>
        <v>99.392351490067014</v>
      </c>
      <c r="CU16" s="320">
        <f>IPMT(Исх.данные!$D$9,CU43,Исх.данные!$D$11,-SUM($BD23:CU23),,SUM($BD23:CU23))</f>
        <v>96.156542554948345</v>
      </c>
      <c r="CV16" s="320">
        <f>IPMT(Исх.данные!$D$9,CV43,Исх.данные!$D$11,-SUM($BD23:CV23),,SUM($BD23:CV23))</f>
        <v>92.907550533687726</v>
      </c>
      <c r="CW16" s="320">
        <f>IPMT(Исх.данные!$D$9,CW43,Исх.данные!$D$11,-SUM($BD23:CW23),,SUM($BD23:CW23))</f>
        <v>89.645321716760435</v>
      </c>
      <c r="CX16" s="320">
        <f>IPMT(Исх.данные!$D$9,CX43,Исх.данные!$D$11,-SUM($BD23:CX23),,SUM($BD23:CX23))</f>
        <v>86.369802175822386</v>
      </c>
      <c r="CY16" s="320">
        <f>IPMT(Исх.данные!$D$9,CY43,Исх.данные!$D$11,-SUM($BD23:CY23),,SUM($BD23:CY23))</f>
        <v>83.080937762818806</v>
      </c>
      <c r="CZ16" s="320">
        <f>IPMT(Исх.данные!$D$9,CZ43,Исх.данные!$D$11,-SUM($BD23:CZ23),,SUM($BD23:CZ23))</f>
        <v>79.77867410908901</v>
      </c>
      <c r="DA16" s="320">
        <f>IPMT(Исх.данные!$D$9,DA43,Исх.данные!$D$11,-SUM($BD23:DA23),,SUM($BD23:DA23))</f>
        <v>76.462956624467679</v>
      </c>
      <c r="DB16" s="320">
        <f>IPMT(Исх.данные!$D$9,DB43,Исх.данные!$D$11,-SUM($BD23:DB23),,SUM($BD23:DB23))</f>
        <v>73.133730496382384</v>
      </c>
      <c r="DC16" s="320">
        <f>IPMT(Исх.данные!$D$9,DC43,Исх.данные!$D$11,-SUM($BD23:DC23),,SUM($BD23:DC23))</f>
        <v>69.790940688947529</v>
      </c>
      <c r="DD16" s="320">
        <f>IPMT(Исх.данные!$D$9,DD43,Исх.данные!$D$11,-SUM($BD23:DD23),,SUM($BD23:DD23))</f>
        <v>66.434531942054448</v>
      </c>
      <c r="DE16" s="320">
        <f>IPMT(Исх.данные!$D$9,DE43,Исх.данные!$D$11,-SUM($BD23:DE23),,SUM($BD23:DE23))</f>
        <v>63.064448770458014</v>
      </c>
      <c r="DF16" s="320">
        <f>IPMT(Исх.данные!$D$9,DF43,Исх.данные!$D$11,-SUM($BD23:DF23),,SUM($BD23:DF23))</f>
        <v>59.680635462859307</v>
      </c>
      <c r="DG16" s="320">
        <f>IPMT(Исх.данные!$D$9,DG43,Исх.данные!$D$11,-SUM($BD23:DG23),,SUM($BD23:DG23))</f>
        <v>56.283036080984672</v>
      </c>
      <c r="DH16" s="320">
        <f>IPMT(Исх.данные!$D$9,DH43,Исх.данные!$D$11,-SUM($BD23:DH23),,SUM($BD23:DH23))</f>
        <v>52.871594458661058</v>
      </c>
      <c r="DI16" s="320">
        <f>IPMT(Исх.данные!$D$9,DI43,Исх.данные!$D$11,-SUM($BD23:DI23),,SUM($BD23:DI23))</f>
        <v>49.446254200887388</v>
      </c>
      <c r="DJ16" s="320">
        <f>IPMT(Исх.данные!$D$9,DJ43,Исх.данные!$D$11,-SUM($BD23:DJ23),,SUM($BD23:DJ23))</f>
        <v>46.006958682902436</v>
      </c>
      <c r="DK16" s="320">
        <f>IPMT(Исх.данные!$D$9,DK43,Исх.данные!$D$11,-SUM($BD23:DK23),,SUM($BD23:DK23))</f>
        <v>42.553651049248671</v>
      </c>
      <c r="DL16" s="320">
        <v>0</v>
      </c>
      <c r="DM16" s="320">
        <v>0</v>
      </c>
      <c r="DN16" s="320">
        <v>0</v>
      </c>
      <c r="DO16" s="320">
        <v>0</v>
      </c>
      <c r="DP16" s="320">
        <v>0</v>
      </c>
      <c r="DQ16" s="320">
        <v>0</v>
      </c>
      <c r="DR16" s="320">
        <v>0</v>
      </c>
      <c r="DS16" s="320">
        <v>0</v>
      </c>
      <c r="DT16" s="320">
        <v>0</v>
      </c>
      <c r="DU16" s="320">
        <v>0</v>
      </c>
      <c r="DV16" s="320">
        <v>0</v>
      </c>
      <c r="DW16" s="320">
        <v>0</v>
      </c>
      <c r="DX16" s="320">
        <v>0</v>
      </c>
      <c r="DY16" s="320">
        <v>0</v>
      </c>
      <c r="DZ16" s="320">
        <v>0</v>
      </c>
      <c r="EA16" s="320">
        <v>0</v>
      </c>
      <c r="EB16" s="320">
        <v>0</v>
      </c>
      <c r="EC16" s="320">
        <v>0</v>
      </c>
      <c r="ED16" s="320">
        <v>0</v>
      </c>
    </row>
    <row r="17" spans="2:134" s="320" customFormat="1" ht="12.6" customHeight="1">
      <c r="B17" s="319" t="s">
        <v>388</v>
      </c>
      <c r="C17" s="320">
        <v>0</v>
      </c>
      <c r="D17" s="320">
        <v>0</v>
      </c>
      <c r="E17" s="320">
        <v>0</v>
      </c>
      <c r="F17" s="320">
        <v>0</v>
      </c>
      <c r="G17" s="320">
        <v>0</v>
      </c>
      <c r="H17" s="320">
        <v>0</v>
      </c>
      <c r="I17" s="320">
        <v>0</v>
      </c>
      <c r="J17" s="320">
        <v>0</v>
      </c>
      <c r="K17" s="320">
        <v>0</v>
      </c>
      <c r="L17" s="320">
        <v>0</v>
      </c>
      <c r="M17" s="320">
        <v>0</v>
      </c>
      <c r="N17" s="320">
        <v>0</v>
      </c>
      <c r="O17" s="320">
        <v>0</v>
      </c>
      <c r="P17" s="320">
        <v>0</v>
      </c>
      <c r="Q17" s="320">
        <v>0</v>
      </c>
      <c r="R17" s="320">
        <v>0</v>
      </c>
      <c r="S17" s="320">
        <v>0</v>
      </c>
      <c r="T17" s="320">
        <v>0</v>
      </c>
      <c r="U17" s="320">
        <v>0</v>
      </c>
      <c r="V17" s="320">
        <v>0</v>
      </c>
      <c r="W17" s="320">
        <f>IPMT(Исх.данные!$D$9,W44,Исх.данные!$D$11,-SUM($O24:W24),,SUM($O24:W24))</f>
        <v>0</v>
      </c>
      <c r="X17" s="320">
        <f>IPMT(Исх.данные!$D$9,X44,Исх.данные!$D$11,-SUM($O24:X24),,SUM($O24:X24))</f>
        <v>142.89617992508394</v>
      </c>
      <c r="Y17" s="320">
        <f>IPMT(Исх.данные!$D$9,Y44,Исх.данные!$D$11,-SUM($O24:Y24),,SUM($O24:Y24))</f>
        <v>141.1279495645457</v>
      </c>
      <c r="Z17" s="320">
        <f>IPMT(Исх.данные!$D$9,Z44,Исх.данные!$D$11,-SUM($O24:Z24),,SUM($O24:Z24))</f>
        <v>139.35251521464062</v>
      </c>
      <c r="AA17" s="320">
        <f>IPMT(Исх.данные!$D$9,AA44,Исх.данные!$D$11,-SUM($O24:AA24),,SUM($O24:AA24))</f>
        <v>137.56984752542428</v>
      </c>
      <c r="AB17" s="320">
        <f>IPMT(Исх.данные!$D$9,AB44,Исх.данные!$D$11,-SUM($O24:AB24),,SUM($O24:AB24))</f>
        <v>135.77991702737697</v>
      </c>
      <c r="AC17" s="320">
        <f>IPMT(Исх.данные!$D$9,AC44,Исх.данные!$D$11,-SUM($O24:AC24),,SUM($O24:AC24))</f>
        <v>133.98269413091649</v>
      </c>
      <c r="AD17" s="320">
        <f>IPMT(Исх.данные!$D$9,AD44,Исх.данные!$D$11,-SUM($O24:AD24),,SUM($O24:AD24))</f>
        <v>132.17814912590904</v>
      </c>
      <c r="AE17" s="320">
        <f>IPMT(Исх.данные!$D$9,AE44,Исх.данные!$D$11,-SUM($O24:AE24),,SUM($O24:AE24))</f>
        <v>130.366252181178</v>
      </c>
      <c r="AF17" s="320">
        <f>IPMT(Исх.данные!$D$9,AF44,Исх.данные!$D$11,-SUM($O24:AF24),,SUM($O24:AF24))</f>
        <v>128.54697334401095</v>
      </c>
      <c r="AG17" s="320">
        <f>IPMT(Исх.данные!$D$9,AG44,Исх.данные!$D$11,-SUM($O24:AG24),,SUM($O24:AG24))</f>
        <v>126.72028253966425</v>
      </c>
      <c r="AH17" s="320">
        <f>IPMT(Исх.данные!$D$9,AH44,Исх.данные!$D$11,-SUM($O24:AH24),,SUM($O24:AH24))</f>
        <v>124.88614957086622</v>
      </c>
      <c r="AI17" s="320">
        <f>IPMT(Исх.данные!$D$9,AI44,Исх.данные!$D$11,-SUM($O24:AI24),,SUM($O24:AI24))</f>
        <v>123.04454411731764</v>
      </c>
      <c r="AJ17" s="320">
        <f>IPMT(Исх.данные!$D$9,AJ44,Исх.данные!$D$11,-SUM($O24:AJ24),,SUM($O24:AJ24))</f>
        <v>121.19543573519066</v>
      </c>
      <c r="AK17" s="320">
        <f>IPMT(Исх.данные!$D$9,AK44,Исх.данные!$D$11,-SUM($O24:AK24),,SUM($O24:AK24))</f>
        <v>119.33879385662551</v>
      </c>
      <c r="AL17" s="320">
        <f>IPMT(Исх.данные!$D$9,AL44,Исх.данные!$D$11,-SUM($O24:AL24),,SUM($O24:AL24))</f>
        <v>117.47458778922518</v>
      </c>
      <c r="AM17" s="320">
        <f>IPMT(Исх.данные!$D$9,AM44,Исх.данные!$D$11,-SUM($O24:AM24),,SUM($O24:AM24))</f>
        <v>115.60278671554802</v>
      </c>
      <c r="AN17" s="320">
        <f>IPMT(Исх.данные!$D$9,AN44,Исх.данные!$D$11,-SUM($O24:AN24),,SUM($O24:AN24))</f>
        <v>113.72335969259835</v>
      </c>
      <c r="AO17" s="320">
        <f>IPMT(Исх.данные!$D$9,AO44,Исх.данные!$D$11,-SUM($O24:AO24),,SUM($O24:AO24))</f>
        <v>111.83627565131484</v>
      </c>
      <c r="AP17" s="320">
        <f>IPMT(Исх.данные!$D$9,AP44,Исх.данные!$D$11,-SUM($O24:AP24),,SUM($O24:AP24))</f>
        <v>109.94150339605699</v>
      </c>
      <c r="AQ17" s="320">
        <f>IPMT(Исх.данные!$D$9,AQ44,Исх.данные!$D$11,-SUM($O24:AQ24),,SUM($O24:AQ24))</f>
        <v>108.03901160408941</v>
      </c>
      <c r="AR17" s="320">
        <f>IPMT(Исх.данные!$D$9,AR44,Исх.данные!$D$11,-SUM($O24:AR24),,SUM($O24:AR24))</f>
        <v>106.12876882506397</v>
      </c>
      <c r="AS17" s="320">
        <f>IPMT(Исх.данные!$D$9,AS44,Исх.данные!$D$11,-SUM($O24:AS24),,SUM($O24:AS24))</f>
        <v>104.21074348049994</v>
      </c>
      <c r="AT17" s="320">
        <f>IPMT(Исх.данные!$D$9,AT44,Исх.данные!$D$11,-SUM($O24:AT24),,SUM($O24:AT24))</f>
        <v>102.28490386326203</v>
      </c>
      <c r="AU17" s="320">
        <f>IPMT(Исх.данные!$D$9,AU44,Исх.данные!$D$11,-SUM($O24:AU24),,SUM($O24:AU24))</f>
        <v>100.35121813703601</v>
      </c>
      <c r="AV17" s="320">
        <f>IPMT(Исх.данные!$D$9,AV44,Исх.данные!$D$11,-SUM($O24:AV24),,SUM($O24:AV24))</f>
        <v>98.409654335802685</v>
      </c>
      <c r="AW17" s="320">
        <f>IPMT(Исх.данные!$D$9,AW44,Исх.данные!$D$11,-SUM($O24:AW24),,SUM($O24:AW24))</f>
        <v>96.460180363309277</v>
      </c>
      <c r="AX17" s="320">
        <f>IPMT(Исх.данные!$D$9,AX44,Исх.данные!$D$11,-SUM($O24:AX24),,SUM($O24:AX24))</f>
        <v>94.502763992538931</v>
      </c>
      <c r="AY17" s="320">
        <f>IPMT(Исх.данные!$D$9,AY44,Исх.данные!$D$11,-SUM($O24:AY24),,SUM($O24:AY24))</f>
        <v>92.537372865177929</v>
      </c>
      <c r="AZ17" s="320">
        <f>IPMT(Исх.данные!$D$9,AZ44,Исх.данные!$D$11,-SUM($O24:AZ24),,SUM($O24:AZ24))</f>
        <v>90.563974491080756</v>
      </c>
      <c r="BA17" s="320">
        <f>IPMT(Исх.данные!$D$9,BA44,Исх.данные!$D$11,-SUM($O24:BA24),,SUM($O24:BA24))</f>
        <v>88.582536247733074</v>
      </c>
      <c r="BB17" s="320">
        <f>IPMT(Исх.данные!$D$9,BB44,Исх.данные!$D$11,-SUM($O24:BB24),,SUM($O24:BB24))</f>
        <v>86.59302537971233</v>
      </c>
      <c r="BC17" s="320">
        <f>IPMT(Исх.данные!$D$9,BC44,Исх.данные!$D$11,-SUM($O24:BC24),,SUM($O24:BC24))</f>
        <v>84.595408998146354</v>
      </c>
      <c r="BD17" s="320">
        <f>IPMT(Исх.данные!$D$9,BD44,Исх.данные!$D$11,-SUM($O24:BD24),,SUM($O24:BD24))</f>
        <v>82.589654080169652</v>
      </c>
      <c r="BE17" s="320">
        <f>IPMT(Исх.данные!$D$9,BE44,Исх.данные!$D$11,-SUM($O24:BE24),,SUM($O24:BE24))</f>
        <v>80.575727468377465</v>
      </c>
      <c r="BF17" s="320">
        <f>IPMT(Исх.данные!$D$9,BF44,Исх.данные!$D$11,-SUM($O24:BF24),,SUM($O24:BF24))</f>
        <v>78.553595870277604</v>
      </c>
      <c r="BG17" s="320">
        <f>IPMT(Исх.данные!$D$9,BG44,Исх.данные!$D$11,-SUM($O24:BG24),,SUM($O24:BG24))</f>
        <v>76.523225857740286</v>
      </c>
      <c r="BH17" s="320">
        <f>IPMT(Исх.данные!$D$9,BH44,Исх.данные!$D$11,-SUM($O24:BH24),,SUM($O24:BH24))</f>
        <v>74.484583866445291</v>
      </c>
      <c r="BI17" s="320">
        <f>IPMT(Исх.данные!$D$9,BI44,Исх.данные!$D$11,-SUM($O24:BI24),,SUM($O24:BI24))</f>
        <v>72.437636195327215</v>
      </c>
      <c r="BJ17" s="320">
        <f>IPMT(Исх.данные!$D$9,BJ44,Исх.данные!$D$11,-SUM($O24:BJ24),,SUM($O24:BJ24))</f>
        <v>70.382349006018359</v>
      </c>
      <c r="BK17" s="320">
        <f>IPMT(Исх.данные!$D$9,BK44,Исх.данные!$D$11,-SUM($O24:BK24),,SUM($O24:BK24))</f>
        <v>68.31868832228929</v>
      </c>
      <c r="BL17" s="320">
        <f>IPMT(Исх.данные!$D$9,BL44,Исх.данные!$D$11,-SUM($O24:BL24),,SUM($O24:BL24))</f>
        <v>66.246620029487275</v>
      </c>
      <c r="BM17" s="320">
        <f>IPMT(Исх.данные!$D$9,BM44,Исх.данные!$D$11,-SUM($O24:BM24),,SUM($O24:BM24))</f>
        <v>64.166109873972204</v>
      </c>
      <c r="BN17" s="320">
        <f>IPMT(Исх.данные!$D$9,BN44,Исх.данные!$D$11,-SUM($O24:BN24),,SUM($O24:BN24))</f>
        <v>62.077123462550439</v>
      </c>
      <c r="BO17" s="320">
        <f>IPMT(Исх.данные!$D$9,BO44,Исх.данные!$D$11,-SUM($O24:BO24),,SUM($O24:BO24))</f>
        <v>59.979626261906162</v>
      </c>
      <c r="BP17" s="320">
        <f>IPMT(Исх.данные!$D$9,BP44,Исх.данные!$D$11,-SUM($O24:BP24),,SUM($O24:BP24))</f>
        <v>57.873583598030621</v>
      </c>
      <c r="BQ17" s="320">
        <f>IPMT(Исх.данные!$D$9,BQ44,Исх.данные!$D$11,-SUM($O24:BQ24),,SUM($O24:BQ24))</f>
        <v>55.758960655648799</v>
      </c>
      <c r="BR17" s="320">
        <f>IPMT(Исх.данные!$D$9,BR44,Исх.данные!$D$11,-SUM($O24:BR24),,SUM($O24:BR24))</f>
        <v>53.635722477643974</v>
      </c>
      <c r="BS17" s="320">
        <f>IPMT(Исх.данные!$D$9,BS44,Исх.данные!$D$11,-SUM($O24:BS24),,SUM($O24:BS24))</f>
        <v>51.503833964479796</v>
      </c>
      <c r="BT17" s="320">
        <f>IPMT(Исх.данные!$D$9,BT44,Исх.данные!$D$11,-SUM($O24:BT24),,SUM($O24:BT24))</f>
        <v>49.363259873620031</v>
      </c>
      <c r="BU17" s="320">
        <f>IPMT(Исх.данные!$D$9,BU44,Исх.данные!$D$11,-SUM($O24:BU24),,SUM($O24:BU24))</f>
        <v>47.213964818946053</v>
      </c>
      <c r="BV17" s="320">
        <f>IPMT(Исх.данные!$D$9,BV44,Исх.данные!$D$11,-SUM($O24:BV24),,SUM($O24:BV24))</f>
        <v>45.055913270171736</v>
      </c>
      <c r="BW17" s="320">
        <f>IPMT(Исх.данные!$D$9,BW44,Исх.данные!$D$11,-SUM($O24:BW24),,SUM($O24:BW24))</f>
        <v>42.889069552256224</v>
      </c>
      <c r="BX17" s="320">
        <f>IPMT(Исх.данные!$D$9,BX44,Исх.данные!$D$11,-SUM($O24:BX24),,SUM($O24:BX24))</f>
        <v>40.713397844814104</v>
      </c>
      <c r="BY17" s="320">
        <f>IPMT(Исх.данные!$D$9,BY44,Исх.данные!$D$11,-SUM($O24:BY24),,SUM($O24:BY24))</f>
        <v>38.52886218152328</v>
      </c>
      <c r="BZ17" s="320">
        <f>IPMT(Исх.данные!$D$9,BZ44,Исх.данные!$D$11,-SUM($O24:BZ24),,SUM($O24:BZ24))</f>
        <v>36.335426449530409</v>
      </c>
      <c r="CA17" s="320">
        <f>IPMT(Исх.данные!$D$9,CA44,Исх.данные!$D$11,-SUM($O24:CA24),,SUM($O24:CA24))</f>
        <v>34.133054388853935</v>
      </c>
      <c r="CB17" s="320">
        <f>IPMT(Исх.данные!$D$9,CB44,Исх.данные!$D$11,-SUM($O24:CB24),,SUM($O24:CB24))</f>
        <v>31.921709591784612</v>
      </c>
      <c r="CC17" s="320">
        <f>IPMT(Исх.данные!$D$9,CC44,Исх.данные!$D$11,-SUM($O24:CC24),,SUM($O24:CC24))</f>
        <v>29.701355502283697</v>
      </c>
      <c r="CD17" s="320">
        <f>IPMT(Исх.данные!$D$9,CD44,Исх.данные!$D$11,-SUM($O24:CD24),,SUM($O24:CD24))</f>
        <v>27.471955415378631</v>
      </c>
      <c r="CE17" s="320">
        <f>IPMT(Исх.данные!$D$9,CE44,Исх.данные!$D$11,-SUM($O24:CE24),,SUM($O24:CE24))</f>
        <v>25.233472476556237</v>
      </c>
      <c r="CF17" s="320">
        <f>IPMT(Исх.данные!$D$9,CF44,Исх.данные!$D$11,-SUM($O24:CF24),,SUM($O24:CF24))</f>
        <v>22.985869681153492</v>
      </c>
      <c r="CG17" s="320">
        <f>IPMT(Исх.данные!$D$9,CG44,Исх.данные!$D$11,-SUM($O24:CG24),,SUM($O24:CG24))</f>
        <v>20.729109873745802</v>
      </c>
      <c r="CH17" s="320">
        <v>0</v>
      </c>
      <c r="CI17" s="320">
        <v>0</v>
      </c>
      <c r="CJ17" s="320">
        <v>0</v>
      </c>
      <c r="CK17" s="320">
        <v>0</v>
      </c>
      <c r="CL17" s="320">
        <v>0</v>
      </c>
      <c r="CM17" s="320">
        <v>0</v>
      </c>
      <c r="CN17" s="320">
        <v>0</v>
      </c>
      <c r="CO17" s="320">
        <v>0</v>
      </c>
      <c r="CP17" s="320">
        <v>0</v>
      </c>
      <c r="CQ17" s="320">
        <v>0</v>
      </c>
      <c r="CR17" s="320">
        <v>0</v>
      </c>
      <c r="CS17" s="320">
        <v>0</v>
      </c>
      <c r="CT17" s="320">
        <v>0</v>
      </c>
      <c r="CU17" s="320">
        <v>0</v>
      </c>
      <c r="CV17" s="320">
        <v>0</v>
      </c>
      <c r="CW17" s="320">
        <v>0</v>
      </c>
      <c r="CX17" s="320">
        <v>0</v>
      </c>
      <c r="CY17" s="320">
        <v>0</v>
      </c>
      <c r="CZ17" s="320">
        <v>0</v>
      </c>
      <c r="DA17" s="320">
        <v>0</v>
      </c>
      <c r="DB17" s="320">
        <v>0</v>
      </c>
      <c r="DC17" s="320">
        <v>0</v>
      </c>
      <c r="DD17" s="320">
        <v>0</v>
      </c>
      <c r="DE17" s="320">
        <v>0</v>
      </c>
      <c r="DF17" s="320">
        <v>0</v>
      </c>
      <c r="DG17" s="320">
        <v>0</v>
      </c>
      <c r="DH17" s="320">
        <v>0</v>
      </c>
      <c r="DI17" s="320">
        <v>0</v>
      </c>
      <c r="DJ17" s="320">
        <v>0</v>
      </c>
      <c r="DK17" s="320">
        <v>0</v>
      </c>
      <c r="DL17" s="320">
        <v>0</v>
      </c>
      <c r="DM17" s="320">
        <v>0</v>
      </c>
      <c r="DN17" s="320">
        <v>0</v>
      </c>
      <c r="DO17" s="320">
        <v>0</v>
      </c>
      <c r="DP17" s="320">
        <v>0</v>
      </c>
      <c r="DQ17" s="320">
        <v>0</v>
      </c>
      <c r="DR17" s="320">
        <v>0</v>
      </c>
      <c r="DS17" s="320">
        <v>0</v>
      </c>
      <c r="DT17" s="320">
        <v>0</v>
      </c>
      <c r="DU17" s="320">
        <v>0</v>
      </c>
      <c r="DV17" s="320">
        <v>0</v>
      </c>
      <c r="DW17" s="320">
        <v>0</v>
      </c>
      <c r="DX17" s="320">
        <v>0</v>
      </c>
      <c r="DY17" s="320">
        <v>0</v>
      </c>
      <c r="DZ17" s="320">
        <v>0</v>
      </c>
      <c r="EA17" s="320">
        <v>0</v>
      </c>
      <c r="EB17" s="320">
        <v>0</v>
      </c>
      <c r="EC17" s="320">
        <v>0</v>
      </c>
      <c r="ED17" s="320">
        <v>0</v>
      </c>
    </row>
    <row r="18" spans="2:134" s="60" customFormat="1" ht="12.6" customHeight="1">
      <c r="B18" s="225" t="s">
        <v>54</v>
      </c>
      <c r="C18" s="226">
        <f>SUM(C19:C24)</f>
        <v>0</v>
      </c>
      <c r="D18" s="226">
        <f t="shared" ref="D18:BO18" si="16">SUM(D19:D24)</f>
        <v>0</v>
      </c>
      <c r="E18" s="226">
        <f t="shared" si="16"/>
        <v>0</v>
      </c>
      <c r="F18" s="226">
        <f t="shared" si="16"/>
        <v>0</v>
      </c>
      <c r="G18" s="226">
        <f t="shared" si="16"/>
        <v>20.399999999999999</v>
      </c>
      <c r="H18" s="226">
        <f t="shared" si="16"/>
        <v>0</v>
      </c>
      <c r="I18" s="226">
        <f t="shared" si="16"/>
        <v>0</v>
      </c>
      <c r="J18" s="226">
        <f t="shared" si="16"/>
        <v>0</v>
      </c>
      <c r="K18" s="226">
        <f t="shared" si="16"/>
        <v>0</v>
      </c>
      <c r="L18" s="226">
        <f t="shared" si="16"/>
        <v>3603.1122600000003</v>
      </c>
      <c r="M18" s="226">
        <f t="shared" si="16"/>
        <v>0</v>
      </c>
      <c r="N18" s="226">
        <f t="shared" si="16"/>
        <v>1106.3652229125</v>
      </c>
      <c r="O18" s="226">
        <f t="shared" si="16"/>
        <v>27024.328799999999</v>
      </c>
      <c r="P18" s="226">
        <f t="shared" si="16"/>
        <v>16229.842904571322</v>
      </c>
      <c r="Q18" s="226">
        <f t="shared" si="16"/>
        <v>581.79910499665084</v>
      </c>
      <c r="R18" s="226">
        <f t="shared" si="16"/>
        <v>46474.436613613012</v>
      </c>
      <c r="S18" s="226">
        <f>SUM(S19:S24)</f>
        <v>8027.0190846076857</v>
      </c>
      <c r="T18" s="226">
        <f t="shared" si="16"/>
        <v>1026.6507700329685</v>
      </c>
      <c r="U18" s="226">
        <f t="shared" si="16"/>
        <v>883.98412347164606</v>
      </c>
      <c r="V18" s="226">
        <f t="shared" si="16"/>
        <v>346.72888632632782</v>
      </c>
      <c r="W18" s="226">
        <f t="shared" si="16"/>
        <v>15579.267540960205</v>
      </c>
      <c r="X18" s="226">
        <f t="shared" si="16"/>
        <v>53742.540476778973</v>
      </c>
      <c r="Y18" s="226">
        <f t="shared" si="16"/>
        <v>4756.9478685142403</v>
      </c>
      <c r="Z18" s="226">
        <f t="shared" si="16"/>
        <v>13508.394050000001</v>
      </c>
      <c r="AA18" s="226">
        <f t="shared" si="16"/>
        <v>12076.899679999999</v>
      </c>
      <c r="AB18" s="226">
        <f t="shared" si="16"/>
        <v>14152.60232</v>
      </c>
      <c r="AC18" s="226">
        <f t="shared" si="16"/>
        <v>25853.715600000003</v>
      </c>
      <c r="AD18" s="226">
        <f t="shared" si="16"/>
        <v>0</v>
      </c>
      <c r="AE18" s="226">
        <f t="shared" si="16"/>
        <v>0</v>
      </c>
      <c r="AF18" s="226">
        <f t="shared" si="16"/>
        <v>9310.3019944000062</v>
      </c>
      <c r="AG18" s="226">
        <f t="shared" si="16"/>
        <v>9310.3019944000062</v>
      </c>
      <c r="AH18" s="226">
        <f t="shared" si="16"/>
        <v>9310.3019944000062</v>
      </c>
      <c r="AI18" s="226">
        <f t="shared" si="16"/>
        <v>9310.3019944000062</v>
      </c>
      <c r="AJ18" s="226">
        <f t="shared" si="16"/>
        <v>9310.3019944000062</v>
      </c>
      <c r="AK18" s="226">
        <f t="shared" si="16"/>
        <v>0</v>
      </c>
      <c r="AL18" s="226">
        <f t="shared" si="16"/>
        <v>0</v>
      </c>
      <c r="AM18" s="226">
        <f t="shared" si="16"/>
        <v>0</v>
      </c>
      <c r="AN18" s="226">
        <f t="shared" si="16"/>
        <v>0</v>
      </c>
      <c r="AO18" s="226">
        <f t="shared" si="16"/>
        <v>0</v>
      </c>
      <c r="AP18" s="226">
        <f t="shared" si="16"/>
        <v>0</v>
      </c>
      <c r="AQ18" s="226">
        <f t="shared" si="16"/>
        <v>0</v>
      </c>
      <c r="AR18" s="226">
        <f t="shared" si="16"/>
        <v>10241.332193839991</v>
      </c>
      <c r="AS18" s="226">
        <f t="shared" si="16"/>
        <v>10241.332193839991</v>
      </c>
      <c r="AT18" s="226">
        <f t="shared" si="16"/>
        <v>10241.332193839991</v>
      </c>
      <c r="AU18" s="226">
        <f t="shared" si="16"/>
        <v>10241.332193839991</v>
      </c>
      <c r="AV18" s="226">
        <f t="shared" si="16"/>
        <v>10241.332193839991</v>
      </c>
      <c r="AW18" s="226">
        <f t="shared" si="16"/>
        <v>0</v>
      </c>
      <c r="AX18" s="226">
        <f t="shared" si="16"/>
        <v>0</v>
      </c>
      <c r="AY18" s="226">
        <f t="shared" si="16"/>
        <v>0</v>
      </c>
      <c r="AZ18" s="226">
        <f t="shared" si="16"/>
        <v>0</v>
      </c>
      <c r="BA18" s="226">
        <f t="shared" si="16"/>
        <v>0</v>
      </c>
      <c r="BB18" s="226">
        <f t="shared" si="16"/>
        <v>0</v>
      </c>
      <c r="BC18" s="226">
        <f t="shared" si="16"/>
        <v>0</v>
      </c>
      <c r="BD18" s="226">
        <f t="shared" si="16"/>
        <v>11265.465413224005</v>
      </c>
      <c r="BE18" s="226">
        <f t="shared" si="16"/>
        <v>11265.465413224005</v>
      </c>
      <c r="BF18" s="226">
        <f t="shared" si="16"/>
        <v>11265.465413224005</v>
      </c>
      <c r="BG18" s="226">
        <f>SUM(BG19:BG24)</f>
        <v>11265.465413224005</v>
      </c>
      <c r="BH18" s="226">
        <f t="shared" si="16"/>
        <v>11265.465413224005</v>
      </c>
      <c r="BI18" s="226">
        <f t="shared" si="16"/>
        <v>0</v>
      </c>
      <c r="BJ18" s="226">
        <f t="shared" si="16"/>
        <v>0</v>
      </c>
      <c r="BK18" s="226">
        <f t="shared" si="16"/>
        <v>0</v>
      </c>
      <c r="BL18" s="226">
        <f t="shared" si="16"/>
        <v>0</v>
      </c>
      <c r="BM18" s="226">
        <f t="shared" si="16"/>
        <v>0</v>
      </c>
      <c r="BN18" s="226">
        <f t="shared" si="16"/>
        <v>0</v>
      </c>
      <c r="BO18" s="226">
        <f t="shared" si="16"/>
        <v>0</v>
      </c>
      <c r="BP18" s="226">
        <f t="shared" ref="BP18:EA18" si="17">SUM(BP19:BP24)</f>
        <v>0</v>
      </c>
      <c r="BQ18" s="226">
        <f t="shared" si="17"/>
        <v>0</v>
      </c>
      <c r="BR18" s="226">
        <f t="shared" si="17"/>
        <v>0</v>
      </c>
      <c r="BS18" s="226">
        <f t="shared" si="17"/>
        <v>0</v>
      </c>
      <c r="BT18" s="226">
        <f t="shared" si="17"/>
        <v>0</v>
      </c>
      <c r="BU18" s="226">
        <f t="shared" si="17"/>
        <v>0</v>
      </c>
      <c r="BV18" s="226">
        <f t="shared" si="17"/>
        <v>0</v>
      </c>
      <c r="BW18" s="226">
        <f t="shared" si="17"/>
        <v>0</v>
      </c>
      <c r="BX18" s="226">
        <f t="shared" si="17"/>
        <v>0</v>
      </c>
      <c r="BY18" s="226">
        <f t="shared" si="17"/>
        <v>0</v>
      </c>
      <c r="BZ18" s="226">
        <f t="shared" si="17"/>
        <v>0</v>
      </c>
      <c r="CA18" s="226">
        <f t="shared" si="17"/>
        <v>0</v>
      </c>
      <c r="CB18" s="226">
        <f t="shared" si="17"/>
        <v>0</v>
      </c>
      <c r="CC18" s="226">
        <f t="shared" si="17"/>
        <v>0</v>
      </c>
      <c r="CD18" s="226">
        <f t="shared" si="17"/>
        <v>0</v>
      </c>
      <c r="CE18" s="226">
        <f t="shared" si="17"/>
        <v>0</v>
      </c>
      <c r="CF18" s="226">
        <f t="shared" si="17"/>
        <v>0</v>
      </c>
      <c r="CG18" s="226">
        <f t="shared" si="17"/>
        <v>0</v>
      </c>
      <c r="CH18" s="226">
        <f t="shared" si="17"/>
        <v>0</v>
      </c>
      <c r="CI18" s="226">
        <f t="shared" si="17"/>
        <v>0</v>
      </c>
      <c r="CJ18" s="226">
        <f t="shared" si="17"/>
        <v>0</v>
      </c>
      <c r="CK18" s="226">
        <f t="shared" si="17"/>
        <v>0</v>
      </c>
      <c r="CL18" s="226">
        <f t="shared" si="17"/>
        <v>0</v>
      </c>
      <c r="CM18" s="226">
        <f t="shared" si="17"/>
        <v>0</v>
      </c>
      <c r="CN18" s="226">
        <f t="shared" si="17"/>
        <v>0</v>
      </c>
      <c r="CO18" s="226">
        <f t="shared" si="17"/>
        <v>0</v>
      </c>
      <c r="CP18" s="226">
        <f t="shared" si="17"/>
        <v>0</v>
      </c>
      <c r="CQ18" s="226">
        <f t="shared" si="17"/>
        <v>0</v>
      </c>
      <c r="CR18" s="226">
        <f t="shared" si="17"/>
        <v>0</v>
      </c>
      <c r="CS18" s="226">
        <f t="shared" si="17"/>
        <v>0</v>
      </c>
      <c r="CT18" s="226">
        <f t="shared" si="17"/>
        <v>0</v>
      </c>
      <c r="CU18" s="226">
        <f t="shared" si="17"/>
        <v>0</v>
      </c>
      <c r="CV18" s="226">
        <f t="shared" si="17"/>
        <v>0</v>
      </c>
      <c r="CW18" s="226">
        <f t="shared" si="17"/>
        <v>0</v>
      </c>
      <c r="CX18" s="226">
        <f t="shared" si="17"/>
        <v>0</v>
      </c>
      <c r="CY18" s="226">
        <f t="shared" si="17"/>
        <v>0</v>
      </c>
      <c r="CZ18" s="226">
        <f t="shared" si="17"/>
        <v>0</v>
      </c>
      <c r="DA18" s="226">
        <f t="shared" si="17"/>
        <v>0</v>
      </c>
      <c r="DB18" s="226">
        <f t="shared" si="17"/>
        <v>0</v>
      </c>
      <c r="DC18" s="226">
        <f t="shared" si="17"/>
        <v>0</v>
      </c>
      <c r="DD18" s="226">
        <f t="shared" si="17"/>
        <v>0</v>
      </c>
      <c r="DE18" s="226">
        <f t="shared" si="17"/>
        <v>0</v>
      </c>
      <c r="DF18" s="226">
        <f t="shared" si="17"/>
        <v>0</v>
      </c>
      <c r="DG18" s="226">
        <f t="shared" si="17"/>
        <v>0</v>
      </c>
      <c r="DH18" s="226">
        <f t="shared" si="17"/>
        <v>0</v>
      </c>
      <c r="DI18" s="226">
        <f t="shared" si="17"/>
        <v>0</v>
      </c>
      <c r="DJ18" s="226">
        <f t="shared" si="17"/>
        <v>0</v>
      </c>
      <c r="DK18" s="226">
        <f t="shared" si="17"/>
        <v>0</v>
      </c>
      <c r="DL18" s="226">
        <f t="shared" si="17"/>
        <v>0</v>
      </c>
      <c r="DM18" s="226">
        <f t="shared" si="17"/>
        <v>0</v>
      </c>
      <c r="DN18" s="226">
        <f t="shared" si="17"/>
        <v>0</v>
      </c>
      <c r="DO18" s="226">
        <f t="shared" si="17"/>
        <v>0</v>
      </c>
      <c r="DP18" s="226">
        <f t="shared" si="17"/>
        <v>0</v>
      </c>
      <c r="DQ18" s="226">
        <f t="shared" si="17"/>
        <v>0</v>
      </c>
      <c r="DR18" s="226">
        <f t="shared" si="17"/>
        <v>0</v>
      </c>
      <c r="DS18" s="226">
        <f t="shared" si="17"/>
        <v>0</v>
      </c>
      <c r="DT18" s="226">
        <f t="shared" si="17"/>
        <v>0</v>
      </c>
      <c r="DU18" s="226">
        <f t="shared" si="17"/>
        <v>0</v>
      </c>
      <c r="DV18" s="226">
        <f t="shared" si="17"/>
        <v>0</v>
      </c>
      <c r="DW18" s="226">
        <f t="shared" si="17"/>
        <v>0</v>
      </c>
      <c r="DX18" s="226">
        <f t="shared" si="17"/>
        <v>0</v>
      </c>
      <c r="DY18" s="226">
        <f t="shared" si="17"/>
        <v>0</v>
      </c>
      <c r="DZ18" s="226">
        <f t="shared" si="17"/>
        <v>0</v>
      </c>
      <c r="EA18" s="226">
        <f t="shared" si="17"/>
        <v>0</v>
      </c>
      <c r="EB18" s="226">
        <f t="shared" ref="EB18:ED18" si="18">SUM(EB19:EB24)</f>
        <v>0</v>
      </c>
      <c r="EC18" s="226">
        <f t="shared" si="18"/>
        <v>0</v>
      </c>
      <c r="ED18" s="226">
        <f t="shared" si="18"/>
        <v>0</v>
      </c>
    </row>
    <row r="19" spans="2:134" s="60" customFormat="1" ht="12.6" customHeight="1">
      <c r="B19" s="136" t="s">
        <v>1</v>
      </c>
      <c r="C19" s="136">
        <f>Инвестиции!F4+Инвестиции!F5+Инвестиции!F7+Инвестиции!F8+Инвестиции!F9+Инвестиции!F10+Инвестиции!F41+Инвестиции!F42+Инвестиции!F71+Инвестиции!F72+Инвестиции!F73</f>
        <v>0</v>
      </c>
      <c r="D19" s="136">
        <f>Инвестиции!G4+Инвестиции!G5+Инвестиции!G7+Инвестиции!G8+Инвестиции!G9+Инвестиции!G10+Инвестиции!G41+Инвестиции!G42+Инвестиции!G71+Инвестиции!G72+Инвестиции!G73</f>
        <v>0</v>
      </c>
      <c r="E19" s="136">
        <f>Инвестиции!H4+Инвестиции!H5+Инвестиции!H7+Инвестиции!H8+Инвестиции!H9+Инвестиции!H10+Инвестиции!H41+Инвестиции!H42+Инвестиции!H71+Инвестиции!H72+Инвестиции!H73</f>
        <v>0</v>
      </c>
      <c r="F19" s="136">
        <f>Инвестиции!I4+Инвестиции!I5+Инвестиции!I7+Инвестиции!I8+Инвестиции!I9+Инвестиции!I10+Инвестиции!I41+Инвестиции!I42+Инвестиции!I71+Инвестиции!I72+Инвестиции!I73</f>
        <v>0</v>
      </c>
      <c r="G19" s="136">
        <f>Инвестиции!J4+Инвестиции!J5+Инвестиции!J7+Инвестиции!J8+Инвестиции!J9+Инвестиции!J10+Инвестиции!J41+Инвестиции!J42+Инвестиции!J71+Инвестиции!J72+Инвестиции!J73</f>
        <v>20.399999999999999</v>
      </c>
      <c r="H19" s="136">
        <f>Инвестиции!K4+Инвестиции!K5+Инвестиции!K7+Инвестиции!K8+Инвестиции!K9+Инвестиции!K10+Инвестиции!K41+Инвестиции!K42+Инвестиции!K71+Инвестиции!K72+Инвестиции!K73</f>
        <v>0</v>
      </c>
      <c r="I19" s="136">
        <f>Инвестиции!L4+Инвестиции!L5+Инвестиции!L7+Инвестиции!L8+Инвестиции!L9+Инвестиции!L10+Инвестиции!L41+Инвестиции!L42+Инвестиции!L71+Инвестиции!L72+Инвестиции!L73</f>
        <v>0</v>
      </c>
      <c r="J19" s="136">
        <f>Инвестиции!M4+Инвестиции!M5+Инвестиции!M7+Инвестиции!M8+Инвестиции!M9+Инвестиции!M10+Инвестиции!M41+Инвестиции!M42+Инвестиции!M71+Инвестиции!M72+Инвестиции!M73</f>
        <v>0</v>
      </c>
      <c r="K19" s="136">
        <f>Инвестиции!N4+Инвестиции!N5+Инвестиции!N7+Инвестиции!N8+Инвестиции!N9+Инвестиции!N10+Инвестиции!N41+Инвестиции!N42+Инвестиции!N71+Инвестиции!N72+Инвестиции!N73</f>
        <v>0</v>
      </c>
      <c r="L19" s="136">
        <f>Инвестиции!O4+Инвестиции!O5+Инвестиции!O7+Инвестиции!O8+Инвестиции!O9+Инвестиции!O10+Инвестиции!O41+Инвестиции!O42+Инвестиции!O71+Инвестиции!O72+Инвестиции!O73</f>
        <v>3603.1122600000003</v>
      </c>
      <c r="M19" s="136">
        <f>Инвестиции!P4+Инвестиции!P5+Инвестиции!P7+Инвестиции!P8+Инвестиции!P9+Инвестиции!P10+Инвестиции!P41+Инвестиции!P42+Инвестиции!P71+Инвестиции!P72+Инвестиции!P73</f>
        <v>0</v>
      </c>
      <c r="N19" s="136">
        <f>Инвестиции!Q4+Инвестиции!Q5+Инвестиции!Q7+Инвестиции!Q8+Инвестиции!Q9+Инвестиции!Q10+Инвестиции!Q41+Инвестиции!Q42+Инвестиции!Q71+Инвестиции!Q72+Инвестиции!Q73+N11</f>
        <v>1106.3652229125</v>
      </c>
      <c r="O19" s="136">
        <f>Инвестиции!R4+Инвестиции!R5+Инвестиции!R7+Инвестиции!R8+Инвестиции!R9+Инвестиции!R10+Инвестиции!R41+Инвестиции!R42+Инвестиции!R71+Инвестиции!R72+Инвестиции!R73+O11</f>
        <v>1024.3288</v>
      </c>
      <c r="P19" s="136">
        <f>Инвестиции!S4+Инвестиции!S5+Инвестиции!S7+Инвестиции!S8+Инвестиции!S9+Инвестиции!S10+Инвестиции!S41+Инвестиции!S42+Инвестиции!S71+Инвестиции!S72+Инвестиции!S73+P11+P12</f>
        <v>16229.842904571322</v>
      </c>
      <c r="Q19" s="136">
        <f>Инвестиции!T4+Инвестиции!T5+Инвестиции!T7+Инвестиции!T8+Инвестиции!T9+Инвестиции!T10+Инвестиции!T41+Инвестиции!T42+Инвестиции!T71+Инвестиции!T72+Инвестиции!T73+Q11+Q12</f>
        <v>186.51910499665084</v>
      </c>
      <c r="R19" s="136">
        <f>Инвестиции!U4+Инвестиции!U5+Инвестиции!U7+Инвестиции!U8+Инвестиции!U9+Инвестиции!U10+Инвестиции!U41+Инвестиции!U42+Инвестиции!U71+Инвестиции!U72+Инвестиции!U73+R11+R12</f>
        <v>1185.9666136130122</v>
      </c>
      <c r="S19" s="136">
        <f>Инвестиции!V4+Инвестиции!V5+Инвестиции!V7+Инвестиции!V8+Инвестиции!V9+Инвестиции!V10+Инвестиции!V41+Инвестиции!V42+Инвестиции!V71+Инвестиции!V72+Инвестиции!V73+S12</f>
        <v>457.21908460768537</v>
      </c>
      <c r="T19" s="136">
        <f>Инвестиции!W4+Инвестиции!W5+Инвестиции!W7+Инвестиции!W8+Инвестиции!W9+Инвестиции!W10+Инвестиции!W41+Инвестиции!W42+Инвестиции!W71+Инвестиции!W72+Инвестиции!W73+T11+T12</f>
        <v>391.10077003296851</v>
      </c>
      <c r="U19" s="136">
        <f>Инвестиции!X4+Инвестиции!X5+Инвестиции!X7+Инвестиции!X8+Инвестиции!X9+Инвестиции!X10+Инвестиции!X41+Инвестиции!X42+Инвестиции!X71+Инвестиции!X72+Инвестиции!X73+U11+U12</f>
        <v>313.78412347164601</v>
      </c>
      <c r="V19" s="136">
        <f>Инвестиции!Y4+Инвестиции!Y5+Инвестиции!Y7+Инвестиции!Y8+Инвестиции!Y9+Инвестиции!Y10+Инвестиции!Y41+Инвестиции!Y42+Инвестиции!Y71+Инвестиции!Y72+Инвестиции!Y73+V11+V12</f>
        <v>299.42888632632781</v>
      </c>
      <c r="W19" s="136">
        <f>Инвестиции!Z4+Инвестиции!Z5+Инвестиции!Z7+Инвестиции!Z8+Инвестиции!Z9+Инвестиции!Z10+Инвестиции!Z41+Инвестиции!Z42+Инвестиции!Z71+Инвестиции!Z72+Инвестиции!Z73+W11+W12</f>
        <v>5676.7055409602053</v>
      </c>
      <c r="X19" s="136">
        <f>Инвестиции!AA4+Инвестиции!AA5+Инвестиции!AA7+Инвестиции!AA8+Инвестиции!AA9+Инвестиции!AA10+Инвестиции!AA41+Инвестиции!AA42+Инвестиции!AA71+Инвестиции!AA72+Инвестиции!AA73+X12</f>
        <v>21501.412476778969</v>
      </c>
      <c r="Y19" s="136">
        <f>Инвестиции!AB4+Инвестиции!AB5+Инвестиции!AB7+Инвестиции!AB8+Инвестиции!AB9+Инвестиции!AB10+Инвестиции!AB41+Инвестиции!AB42+Инвестиции!AB71+Инвестиции!AB72+Инвестиции!AB73+Y8+Y11+Y12</f>
        <v>3203.4478685142399</v>
      </c>
      <c r="Z19" s="136">
        <f>Инвестиции!AC4+Инвестиции!AC5+Инвестиции!AC7+Инвестиции!AC8+Инвестиции!AC9+Инвестиции!AC10+Инвестиции!AC41+Инвестиции!AC42+Инвестиции!AC71+Инвестиции!AC72+Инвестиции!AC73+Z8</f>
        <v>12775.594050000002</v>
      </c>
      <c r="AA19" s="136">
        <f>Инвестиции!AD4+Инвестиции!AD5+Инвестиции!AD7+Инвестиции!AD8+Инвестиции!AD9+Инвестиции!AD10+Инвестиции!AD41+Инвестиции!AD42+Инвестиции!AD71+Инвестиции!AD72+Инвестиции!AD73+AA8</f>
        <v>12076.899679999999</v>
      </c>
      <c r="AB19" s="136">
        <f>Инвестиции!AE4+Инвестиции!AE5+Инвестиции!AE7+Инвестиции!AE8+Инвестиции!AE9+Инвестиции!AE10+Инвестиции!AE41+Инвестиции!AE42+Инвестиции!AE71+Инвестиции!AE72+Инвестиции!AE73+AB8</f>
        <v>14152.60232</v>
      </c>
      <c r="AC19" s="136">
        <f>Инвестиции!AF4+Инвестиции!AF5+Инвестиции!AF7+Инвестиции!AF8+Инвестиции!AF9+Инвестиции!AF10+Инвестиции!AF41+Инвестиции!AF42+Инвестиции!AF71+Инвестиции!AF72+Инвестиции!AF73</f>
        <v>10552.935600000001</v>
      </c>
      <c r="AD19" s="136">
        <f>Инвестиции!AG4+Инвестиции!AG5+Инвестиции!AG7+Инвестиции!AG8+Инвестиции!AG9+Инвестиции!AG10+Инвестиции!AG41+Инвестиции!AG42+Инвестиции!AG71+Инвестиции!AG72+Инвестиции!AG73</f>
        <v>0</v>
      </c>
      <c r="AE19" s="136">
        <f>Инвестиции!AH4+Инвестиции!AH5+Инвестиции!AH7+Инвестиции!AH8+Инвестиции!AH9+Инвестиции!AH10+Инвестиции!AH41+Инвестиции!AH42+Инвестиции!AH71+Инвестиции!AH72+Инвестиции!AH73</f>
        <v>0</v>
      </c>
      <c r="AF19" s="136">
        <f>Инвестиции!AI4+Инвестиции!AI5+Инвестиции!AI7+Инвестиции!AI8+Инвестиции!AI9+Инвестиции!AI10+Инвестиции!AI41+Инвестиции!AI42+Инвестиции!AI71+Инвестиции!AI72+Инвестиции!AI73</f>
        <v>182.5549410666668</v>
      </c>
      <c r="AG19" s="136">
        <f>Инвестиции!AJ4+Инвестиции!AJ5+Инвестиции!AJ7+Инвестиции!AJ8+Инвестиции!AJ9+Инвестиции!AJ10+Инвестиции!AJ41+Инвестиции!AJ42+Инвестиции!AJ71+Инвестиции!AJ72+Инвестиции!AJ73</f>
        <v>182.5549410666668</v>
      </c>
      <c r="AH19" s="136">
        <f>Инвестиции!AK4+Инвестиции!AK5+Инвестиции!AK7+Инвестиции!AK8+Инвестиции!AK9+Инвестиции!AK10+Инвестиции!AK41+Инвестиции!AK42+Инвестиции!AK71+Инвестиции!AK72+Инвестиции!AK73</f>
        <v>182.5549410666668</v>
      </c>
      <c r="AI19" s="136">
        <f>Инвестиции!AL4+Инвестиции!AL5+Инвестиции!AL7+Инвестиции!AL8+Инвестиции!AL9+Инвестиции!AL10+Инвестиции!AL41+Инвестиции!AL42+Инвестиции!AL71+Инвестиции!AL72+Инвестиции!AL73</f>
        <v>182.5549410666668</v>
      </c>
      <c r="AJ19" s="136">
        <f>Инвестиции!AM4+Инвестиции!AM5+Инвестиции!AM7+Инвестиции!AM8+Инвестиции!AM9+Инвестиции!AM10+Инвестиции!AM41+Инвестиции!AM42+Инвестиции!AM71+Инвестиции!AM72+Инвестиции!AM73</f>
        <v>182.5549410666668</v>
      </c>
      <c r="AK19" s="136">
        <f>Инвестиции!AN4+Инвестиции!AN5+Инвестиции!AN7+Инвестиции!AN8+Инвестиции!AN9+Инвестиции!AN10+Инвестиции!AN41+Инвестиции!AN42+Инвестиции!AN71+Инвестиции!AN72+Инвестиции!AN73</f>
        <v>0</v>
      </c>
      <c r="AL19" s="136">
        <f>Инвестиции!AO4+Инвестиции!AO5+Инвестиции!AO7+Инвестиции!AO8+Инвестиции!AO9+Инвестиции!AO10+Инвестиции!AO41+Инвестиции!AO42+Инвестиции!AO71+Инвестиции!AO72+Инвестиции!AO73</f>
        <v>0</v>
      </c>
      <c r="AM19" s="136">
        <f>Инвестиции!AP4+Инвестиции!AP5+Инвестиции!AP7+Инвестиции!AP8+Инвестиции!AP9+Инвестиции!AP10+Инвестиции!AP41+Инвестиции!AP42+Инвестиции!AP71+Инвестиции!AP72+Инвестиции!AP73</f>
        <v>0</v>
      </c>
      <c r="AN19" s="136">
        <f>Инвестиции!AQ4+Инвестиции!AQ5+Инвестиции!AQ7+Инвестиции!AQ8+Инвестиции!AQ9+Инвестиции!AQ10+Инвестиции!AQ41+Инвестиции!AQ42+Инвестиции!AQ71+Инвестиции!AQ72+Инвестиции!AQ73</f>
        <v>0</v>
      </c>
      <c r="AO19" s="136">
        <f>Инвестиции!AR4+Инвестиции!AR5+Инвестиции!AR7+Инвестиции!AR8+Инвестиции!AR9+Инвестиции!AR10+Инвестиции!AR41+Инвестиции!AR42+Инвестиции!AR71+Инвестиции!AR72+Инвестиции!AR73</f>
        <v>0</v>
      </c>
      <c r="AP19" s="136">
        <f>Инвестиции!AS4+Инвестиции!AS5+Инвестиции!AS7+Инвестиции!AS8+Инвестиции!AS9+Инвестиции!AS10+Инвестиции!AS41+Инвестиции!AS42+Инвестиции!AS71+Инвестиции!AS72+Инвестиции!AS73</f>
        <v>0</v>
      </c>
      <c r="AQ19" s="136">
        <f>Инвестиции!AT4+Инвестиции!AT5+Инвестиции!AT7+Инвестиции!AT8+Инвестиции!AT9+Инвестиции!AT10+Инвестиции!AT41+Инвестиции!AT42+Инвестиции!AT71+Инвестиции!AT72+Инвестиции!AT73</f>
        <v>0</v>
      </c>
      <c r="AR19" s="136">
        <f>Инвестиции!AU4+Инвестиции!AU5+Инвестиции!AU7+Инвестиции!AU8+Инвестиции!AU9+Инвестиции!AU10+Инвестиции!AU41+Инвестиции!AU42+Инвестиции!AU71+Инвестиции!AU72+Инвестиции!AU73</f>
        <v>200.81043517333319</v>
      </c>
      <c r="AS19" s="136">
        <f>Инвестиции!AV4+Инвестиции!AV5+Инвестиции!AV7+Инвестиции!AV8+Инвестиции!AV9+Инвестиции!AV10+Инвестиции!AV41+Инвестиции!AV42+Инвестиции!AV71+Инвестиции!AV72+Инвестиции!AV73</f>
        <v>200.81043517333319</v>
      </c>
      <c r="AT19" s="136">
        <f>Инвестиции!AW4+Инвестиции!AW5+Инвестиции!AW7+Инвестиции!AW8+Инвестиции!AW9+Инвестиции!AW10+Инвестиции!AW41+Инвестиции!AW42+Инвестиции!AW71+Инвестиции!AW72+Инвестиции!AW73</f>
        <v>200.81043517333319</v>
      </c>
      <c r="AU19" s="136">
        <f>Инвестиции!AX4+Инвестиции!AX5+Инвестиции!AX7+Инвестиции!AX8+Инвестиции!AX9+Инвестиции!AX10+Инвестиции!AX41+Инвестиции!AX42+Инвестиции!AX71+Инвестиции!AX72+Инвестиции!AX73</f>
        <v>200.81043517333319</v>
      </c>
      <c r="AV19" s="136">
        <f>Инвестиции!AY4+Инвестиции!AY5+Инвестиции!AY7+Инвестиции!AY8+Инвестиции!AY9+Инвестиции!AY10+Инвестиции!AY41+Инвестиции!AY42+Инвестиции!AY71+Инвестиции!AY72+Инвестиции!AY73</f>
        <v>200.81043517333319</v>
      </c>
      <c r="AW19" s="136">
        <f>Инвестиции!AZ4+Инвестиции!AZ5+Инвестиции!AZ7+Инвестиции!AZ8+Инвестиции!AZ9+Инвестиции!AZ10+Инвестиции!AZ41+Инвестиции!AZ42+Инвестиции!AZ71+Инвестиции!AZ72+Инвестиции!AZ73</f>
        <v>0</v>
      </c>
      <c r="AX19" s="136">
        <f>Инвестиции!BA4+Инвестиции!BA5+Инвестиции!BA7+Инвестиции!BA8+Инвестиции!BA9+Инвестиции!BA10+Инвестиции!BA41+Инвестиции!BA42+Инвестиции!BA71+Инвестиции!BA72+Инвестиции!BA73</f>
        <v>0</v>
      </c>
      <c r="AY19" s="136">
        <f>Инвестиции!BB4+Инвестиции!BB5+Инвестиции!BB7+Инвестиции!BB8+Инвестиции!BB9+Инвестиции!BB10+Инвестиции!BB41+Инвестиции!BB42+Инвестиции!BB71+Инвестиции!BB72+Инвестиции!BB73</f>
        <v>0</v>
      </c>
      <c r="AZ19" s="136">
        <f>Инвестиции!BC4+Инвестиции!BC5+Инвестиции!BC7+Инвестиции!BC8+Инвестиции!BC9+Инвестиции!BC10+Инвестиции!BC41+Инвестиции!BC42+Инвестиции!BC71+Инвестиции!BC72+Инвестиции!BC73</f>
        <v>0</v>
      </c>
      <c r="BA19" s="136">
        <f>Инвестиции!BD4+Инвестиции!BD5+Инвестиции!BD7+Инвестиции!BD8+Инвестиции!BD9+Инвестиции!BD10+Инвестиции!BD41+Инвестиции!BD42+Инвестиции!BD71+Инвестиции!BD72+Инвестиции!BD73</f>
        <v>0</v>
      </c>
      <c r="BB19" s="136">
        <f>Инвестиции!BE4+Инвестиции!BE5+Инвестиции!BE7+Инвестиции!BE8+Инвестиции!BE9+Инвестиции!BE10+Инвестиции!BE41+Инвестиции!BE42+Инвестиции!BE71+Инвестиции!BE72+Инвестиции!BE73</f>
        <v>0</v>
      </c>
      <c r="BC19" s="136">
        <f>Инвестиции!BF4+Инвестиции!BF5+Инвестиции!BF7+Инвестиции!BF8+Инвестиции!BF9+Инвестиции!BF10+Инвестиции!BF41+Инвестиции!BF42+Инвестиции!BF71+Инвестиции!BF72+Инвестиции!BF73</f>
        <v>0</v>
      </c>
      <c r="BD19" s="136">
        <f>Инвестиции!BG4+Инвестиции!BG5+Инвестиции!BG7+Инвестиции!BG8+Инвестиции!BG9+Инвестиции!BG10+Инвестиции!BG41+Инвестиции!BG42+Инвестиции!BG71+Инвестиции!BG72+Инвестиции!BG73</f>
        <v>220.89147869066679</v>
      </c>
      <c r="BE19" s="136">
        <f>Инвестиции!BH4+Инвестиции!BH5+Инвестиции!BH7+Инвестиции!BH8+Инвестиции!BH9+Инвестиции!BH10+Инвестиции!BH41+Инвестиции!BH42+Инвестиции!BH71+Инвестиции!BH72+Инвестиции!BH73</f>
        <v>220.89147869066679</v>
      </c>
      <c r="BF19" s="136">
        <f>Инвестиции!BI4+Инвестиции!BI5+Инвестиции!BI7+Инвестиции!BI8+Инвестиции!BI9+Инвестиции!BI10+Инвестиции!BI41+Инвестиции!BI42+Инвестиции!BI71+Инвестиции!BI72+Инвестиции!BI73</f>
        <v>220.89147869066679</v>
      </c>
      <c r="BG19" s="136">
        <f>Инвестиции!BJ4+Инвестиции!BJ5+Инвестиции!BJ7+Инвестиции!BJ8+Инвестиции!BJ9+Инвестиции!BJ10+Инвестиции!BJ41+Инвестиции!BJ42+Инвестиции!BJ71+Инвестиции!BJ72+Инвестиции!BJ73</f>
        <v>220.89147869066679</v>
      </c>
      <c r="BH19" s="136">
        <f>Инвестиции!BK4+Инвестиции!BK5+Инвестиции!BK7+Инвестиции!BK8+Инвестиции!BK9+Инвестиции!BK10+Инвестиции!BK41+Инвестиции!BK42+Инвестиции!BK71+Инвестиции!BK72+Инвестиции!BK73</f>
        <v>220.89147869066679</v>
      </c>
      <c r="BI19" s="136">
        <f>Инвестиции!BL4+Инвестиции!BL5+Инвестиции!BL7+Инвестиции!BL8+Инвестиции!BL9+Инвестиции!BL10+Инвестиции!BL41+Инвестиции!BL42+Инвестиции!BL71+Инвестиции!BL72+Инвестиции!BL73</f>
        <v>0</v>
      </c>
      <c r="BJ19" s="136">
        <f>Инвестиции!BM4+Инвестиции!BM5+Инвестиции!BM7+Инвестиции!BM8+Инвестиции!BM9+Инвестиции!BM10+Инвестиции!BM41+Инвестиции!BM42+Инвестиции!BM71+Инвестиции!BM72+Инвестиции!BM73</f>
        <v>0</v>
      </c>
      <c r="BK19" s="136">
        <f>Инвестиции!BN4+Инвестиции!BN5+Инвестиции!BN7+Инвестиции!BN8+Инвестиции!BN9+Инвестиции!BN10+Инвестиции!BN41+Инвестиции!BN42+Инвестиции!BN71+Инвестиции!BN72+Инвестиции!BN73</f>
        <v>0</v>
      </c>
      <c r="BL19" s="136">
        <f>Инвестиции!BO4+Инвестиции!BO5+Инвестиции!BO7+Инвестиции!BO8+Инвестиции!BO9+Инвестиции!BO10+Инвестиции!BO41+Инвестиции!BO42+Инвестиции!BO71+Инвестиции!BO72+Инвестиции!BO73</f>
        <v>0</v>
      </c>
      <c r="BM19" s="136">
        <f>Инвестиции!BP4+Инвестиции!BP5+Инвестиции!BP7+Инвестиции!BP8+Инвестиции!BP9+Инвестиции!BP10+Инвестиции!BP41+Инвестиции!BP42+Инвестиции!BP71+Инвестиции!BP72+Инвестиции!BP73</f>
        <v>0</v>
      </c>
      <c r="BN19" s="136">
        <f>Инвестиции!BQ4+Инвестиции!BQ5+Инвестиции!BQ7+Инвестиции!BQ8+Инвестиции!BQ9+Инвестиции!BQ10+Инвестиции!BQ41+Инвестиции!BQ42+Инвестиции!BQ71+Инвестиции!BQ72+Инвестиции!BQ73</f>
        <v>0</v>
      </c>
      <c r="BO19" s="136">
        <f>Инвестиции!BR4+Инвестиции!BR5+Инвестиции!BR7+Инвестиции!BR8+Инвестиции!BR9+Инвестиции!BR10+Инвестиции!BR41+Инвестиции!BR42+Инвестиции!BR71+Инвестиции!BR72+Инвестиции!BR73</f>
        <v>0</v>
      </c>
      <c r="BP19" s="136">
        <f>Инвестиции!BS4+Инвестиции!BS5+Инвестиции!BS7+Инвестиции!BS8+Инвестиции!BS9+Инвестиции!BS10+Инвестиции!BS41+Инвестиции!BS42+Инвестиции!BS71+Инвестиции!BS72+Инвестиции!BS73</f>
        <v>0</v>
      </c>
      <c r="BQ19" s="136">
        <f>Инвестиции!BT4+Инвестиции!BT5+Инвестиции!BT7+Инвестиции!BT8+Инвестиции!BT9+Инвестиции!BT10+Инвестиции!BT41+Инвестиции!BT42+Инвестиции!BT71+Инвестиции!BT72+Инвестиции!BT73</f>
        <v>0</v>
      </c>
      <c r="BR19" s="136">
        <f>Инвестиции!BU4+Инвестиции!BU5+Инвестиции!BU7+Инвестиции!BU8+Инвестиции!BU9+Инвестиции!BU10+Инвестиции!BU41+Инвестиции!BU42+Инвестиции!BU71+Инвестиции!BU72+Инвестиции!BU73</f>
        <v>0</v>
      </c>
      <c r="BS19" s="136">
        <f>Инвестиции!BV4+Инвестиции!BV5+Инвестиции!BV7+Инвестиции!BV8+Инвестиции!BV9+Инвестиции!BV10+Инвестиции!BV41+Инвестиции!BV42+Инвестиции!BV71+Инвестиции!BV72+Инвестиции!BV73</f>
        <v>0</v>
      </c>
      <c r="BT19" s="136">
        <f>Инвестиции!BW4+Инвестиции!BW5+Инвестиции!BW7+Инвестиции!BW8+Инвестиции!BW9+Инвестиции!BW10+Инвестиции!BW41+Инвестиции!BW42+Инвестиции!BW71+Инвестиции!BW72+Инвестиции!BW73</f>
        <v>0</v>
      </c>
      <c r="BU19" s="136">
        <f>Инвестиции!BX4+Инвестиции!BX5+Инвестиции!BX7+Инвестиции!BX8+Инвестиции!BX9+Инвестиции!BX10+Инвестиции!BX41+Инвестиции!BX42+Инвестиции!BX71+Инвестиции!BX72+Инвестиции!BX73</f>
        <v>0</v>
      </c>
      <c r="BV19" s="136">
        <f>Инвестиции!BY4+Инвестиции!BY5+Инвестиции!BY7+Инвестиции!BY8+Инвестиции!BY9+Инвестиции!BY10+Инвестиции!BY41+Инвестиции!BY42+Инвестиции!BY71+Инвестиции!BY72+Инвестиции!BY73</f>
        <v>0</v>
      </c>
      <c r="BW19" s="136">
        <f>Инвестиции!BZ4+Инвестиции!BZ5+Инвестиции!BZ7+Инвестиции!BZ8+Инвестиции!BZ9+Инвестиции!BZ10+Инвестиции!BZ41+Инвестиции!BZ42+Инвестиции!BZ71+Инвестиции!BZ72+Инвестиции!BZ73</f>
        <v>0</v>
      </c>
      <c r="BX19" s="136">
        <f>Инвестиции!CA4+Инвестиции!CA5+Инвестиции!CA7+Инвестиции!CA8+Инвестиции!CA9+Инвестиции!CA10+Инвестиции!CA41+Инвестиции!CA42+Инвестиции!CA71+Инвестиции!CA72+Инвестиции!CA73</f>
        <v>0</v>
      </c>
      <c r="BY19" s="136">
        <f>Инвестиции!CB4+Инвестиции!CB5+Инвестиции!CB7+Инвестиции!CB8+Инвестиции!CB9+Инвестиции!CB10+Инвестиции!CB41+Инвестиции!CB42+Инвестиции!CB71+Инвестиции!CB72+Инвестиции!CB73</f>
        <v>0</v>
      </c>
      <c r="BZ19" s="136">
        <f>Инвестиции!CC4+Инвестиции!CC5+Инвестиции!CC7+Инвестиции!CC8+Инвестиции!CC9+Инвестиции!CC10+Инвестиции!CC41+Инвестиции!CC42+Инвестиции!CC71+Инвестиции!CC72+Инвестиции!CC73</f>
        <v>0</v>
      </c>
      <c r="CA19" s="136">
        <f>Инвестиции!CD4+Инвестиции!CD5+Инвестиции!CD7+Инвестиции!CD8+Инвестиции!CD9+Инвестиции!CD10+Инвестиции!CD41+Инвестиции!CD42+Инвестиции!CD71+Инвестиции!CD72+Инвестиции!CD73</f>
        <v>0</v>
      </c>
      <c r="CB19" s="136">
        <f>Инвестиции!CE4+Инвестиции!CE5+Инвестиции!CE7+Инвестиции!CE8+Инвестиции!CE9+Инвестиции!CE10+Инвестиции!CE41+Инвестиции!CE42+Инвестиции!CE71+Инвестиции!CE72+Инвестиции!CE73</f>
        <v>0</v>
      </c>
      <c r="CC19" s="136">
        <f>Инвестиции!CF4+Инвестиции!CF5+Инвестиции!CF7+Инвестиции!CF8+Инвестиции!CF9+Инвестиции!CF10+Инвестиции!CF41+Инвестиции!CF42+Инвестиции!CF71+Инвестиции!CF72+Инвестиции!CF73</f>
        <v>0</v>
      </c>
      <c r="CD19" s="136">
        <f>Инвестиции!CG4+Инвестиции!CG5+Инвестиции!CG7+Инвестиции!CG8+Инвестиции!CG9+Инвестиции!CG10+Инвестиции!CG41+Инвестиции!CG42+Инвестиции!CG71+Инвестиции!CG72+Инвестиции!CG73</f>
        <v>0</v>
      </c>
      <c r="CE19" s="136">
        <f>Инвестиции!CH4+Инвестиции!CH5+Инвестиции!CH7+Инвестиции!CH8+Инвестиции!CH9+Инвестиции!CH10+Инвестиции!CH41+Инвестиции!CH42+Инвестиции!CH71+Инвестиции!CH72+Инвестиции!CH73</f>
        <v>0</v>
      </c>
      <c r="CF19" s="136">
        <f>Инвестиции!CI4+Инвестиции!CI5+Инвестиции!CI7+Инвестиции!CI8+Инвестиции!CI9+Инвестиции!CI10+Инвестиции!CI41+Инвестиции!CI42+Инвестиции!CI71+Инвестиции!CI72+Инвестиции!CI73</f>
        <v>0</v>
      </c>
      <c r="CG19" s="136">
        <f>Инвестиции!CJ4+Инвестиции!CJ5+Инвестиции!CJ7+Инвестиции!CJ8+Инвестиции!CJ9+Инвестиции!CJ10+Инвестиции!CJ41+Инвестиции!CJ42+Инвестиции!CJ71+Инвестиции!CJ72+Инвестиции!CJ73</f>
        <v>0</v>
      </c>
      <c r="CH19" s="136">
        <f>Инвестиции!CK4+Инвестиции!CK5+Инвестиции!CK7+Инвестиции!CK8+Инвестиции!CK9+Инвестиции!CK10+Инвестиции!CK41+Инвестиции!CK42+Инвестиции!CK71+Инвестиции!CK72+Инвестиции!CK73</f>
        <v>0</v>
      </c>
      <c r="CI19" s="136">
        <f>Инвестиции!CL4+Инвестиции!CL5+Инвестиции!CL7+Инвестиции!CL8+Инвестиции!CL9+Инвестиции!CL10+Инвестиции!CL41+Инвестиции!CL42+Инвестиции!CL71+Инвестиции!CL72+Инвестиции!CL73</f>
        <v>0</v>
      </c>
      <c r="CJ19" s="136">
        <f>Инвестиции!CM4+Инвестиции!CM5+Инвестиции!CM7+Инвестиции!CM8+Инвестиции!CM9+Инвестиции!CM10+Инвестиции!CM41+Инвестиции!CM42+Инвестиции!CM71+Инвестиции!CM72+Инвестиции!CM73</f>
        <v>0</v>
      </c>
      <c r="CK19" s="136">
        <f>Инвестиции!CN4+Инвестиции!CN5+Инвестиции!CN7+Инвестиции!CN8+Инвестиции!CN9+Инвестиции!CN10+Инвестиции!CN41+Инвестиции!CN42+Инвестиции!CN71+Инвестиции!CN72+Инвестиции!CN73</f>
        <v>0</v>
      </c>
      <c r="CL19" s="136">
        <f>Инвестиции!CO4+Инвестиции!CO5+Инвестиции!CO7+Инвестиции!CO8+Инвестиции!CO9+Инвестиции!CO10+Инвестиции!CO41+Инвестиции!CO42+Инвестиции!CO71+Инвестиции!CO72+Инвестиции!CO73</f>
        <v>0</v>
      </c>
      <c r="CM19" s="136">
        <f>Инвестиции!CP4+Инвестиции!CP5+Инвестиции!CP7+Инвестиции!CP8+Инвестиции!CP9+Инвестиции!CP10+Инвестиции!CP41+Инвестиции!CP42+Инвестиции!CP71+Инвестиции!CP72+Инвестиции!CP73</f>
        <v>0</v>
      </c>
      <c r="CN19" s="136">
        <f>Инвестиции!CQ4+Инвестиции!CQ5+Инвестиции!CQ7+Инвестиции!CQ8+Инвестиции!CQ9+Инвестиции!CQ10+Инвестиции!CQ41+Инвестиции!CQ42+Инвестиции!CQ71+Инвестиции!CQ72+Инвестиции!CQ73</f>
        <v>0</v>
      </c>
      <c r="CO19" s="136">
        <f>Инвестиции!CR4+Инвестиции!CR5+Инвестиции!CR7+Инвестиции!CR8+Инвестиции!CR9+Инвестиции!CR10+Инвестиции!CR41+Инвестиции!CR42+Инвестиции!CR71+Инвестиции!CR72+Инвестиции!CR73</f>
        <v>0</v>
      </c>
      <c r="CP19" s="136">
        <f>Инвестиции!CS4+Инвестиции!CS5+Инвестиции!CS7+Инвестиции!CS8+Инвестиции!CS9+Инвестиции!CS10+Инвестиции!CS41+Инвестиции!CS42+Инвестиции!CS71+Инвестиции!CS72+Инвестиции!CS73</f>
        <v>0</v>
      </c>
      <c r="CQ19" s="136">
        <f>Инвестиции!CT4+Инвестиции!CT5+Инвестиции!CT7+Инвестиции!CT8+Инвестиции!CT9+Инвестиции!CT10+Инвестиции!CT41+Инвестиции!CT42+Инвестиции!CT71+Инвестиции!CT72+Инвестиции!CT73</f>
        <v>0</v>
      </c>
      <c r="CR19" s="136">
        <f>Инвестиции!CU4+Инвестиции!CU5+Инвестиции!CU7+Инвестиции!CU8+Инвестиции!CU9+Инвестиции!CU10+Инвестиции!CU41+Инвестиции!CU42+Инвестиции!CU71+Инвестиции!CU72+Инвестиции!CU73</f>
        <v>0</v>
      </c>
      <c r="CS19" s="136">
        <f>Инвестиции!CV4+Инвестиции!CV5+Инвестиции!CV7+Инвестиции!CV8+Инвестиции!CV9+Инвестиции!CV10+Инвестиции!CV41+Инвестиции!CV42+Инвестиции!CV71+Инвестиции!CV72+Инвестиции!CV73</f>
        <v>0</v>
      </c>
      <c r="CT19" s="136">
        <f>Инвестиции!CW4+Инвестиции!CW5+Инвестиции!CW7+Инвестиции!CW8+Инвестиции!CW9+Инвестиции!CW10+Инвестиции!CW41+Инвестиции!CW42+Инвестиции!CW71+Инвестиции!CW72+Инвестиции!CW73</f>
        <v>0</v>
      </c>
      <c r="CU19" s="136">
        <f>Инвестиции!CX4+Инвестиции!CX5+Инвестиции!CX7+Инвестиции!CX8+Инвестиции!CX9+Инвестиции!CX10+Инвестиции!CX41+Инвестиции!CX42+Инвестиции!CX71+Инвестиции!CX72+Инвестиции!CX73</f>
        <v>0</v>
      </c>
      <c r="CV19" s="136">
        <f>Инвестиции!CY4+Инвестиции!CY5+Инвестиции!CY7+Инвестиции!CY8+Инвестиции!CY9+Инвестиции!CY10+Инвестиции!CY41+Инвестиции!CY42+Инвестиции!CY71+Инвестиции!CY72+Инвестиции!CY73</f>
        <v>0</v>
      </c>
      <c r="CW19" s="136">
        <f>Инвестиции!CZ4+Инвестиции!CZ5+Инвестиции!CZ7+Инвестиции!CZ8+Инвестиции!CZ9+Инвестиции!CZ10+Инвестиции!CZ41+Инвестиции!CZ42+Инвестиции!CZ71+Инвестиции!CZ72+Инвестиции!CZ73</f>
        <v>0</v>
      </c>
      <c r="CX19" s="136">
        <f>Инвестиции!DA4+Инвестиции!DA5+Инвестиции!DA7+Инвестиции!DA8+Инвестиции!DA9+Инвестиции!DA10+Инвестиции!DA41+Инвестиции!DA42+Инвестиции!DA71+Инвестиции!DA72+Инвестиции!DA73</f>
        <v>0</v>
      </c>
      <c r="CY19" s="136">
        <f>Инвестиции!DB4+Инвестиции!DB5+Инвестиции!DB7+Инвестиции!DB8+Инвестиции!DB9+Инвестиции!DB10+Инвестиции!DB41+Инвестиции!DB42+Инвестиции!DB71+Инвестиции!DB72+Инвестиции!DB73</f>
        <v>0</v>
      </c>
      <c r="CZ19" s="136">
        <f>Инвестиции!DC4+Инвестиции!DC5+Инвестиции!DC7+Инвестиции!DC8+Инвестиции!DC9+Инвестиции!DC10+Инвестиции!DC41+Инвестиции!DC42+Инвестиции!DC71+Инвестиции!DC72+Инвестиции!DC73</f>
        <v>0</v>
      </c>
      <c r="DA19" s="136">
        <f>Инвестиции!DD4+Инвестиции!DD5+Инвестиции!DD7+Инвестиции!DD8+Инвестиции!DD9+Инвестиции!DD10+Инвестиции!DD41+Инвестиции!DD42+Инвестиции!DD71+Инвестиции!DD72+Инвестиции!DD73</f>
        <v>0</v>
      </c>
      <c r="DB19" s="136">
        <f>Инвестиции!DE4+Инвестиции!DE5+Инвестиции!DE7+Инвестиции!DE8+Инвестиции!DE9+Инвестиции!DE10+Инвестиции!DE41+Инвестиции!DE42+Инвестиции!DE71+Инвестиции!DE72+Инвестиции!DE73</f>
        <v>0</v>
      </c>
      <c r="DC19" s="136">
        <f>Инвестиции!DF4+Инвестиции!DF5+Инвестиции!DF7+Инвестиции!DF8+Инвестиции!DF9+Инвестиции!DF10+Инвестиции!DF41+Инвестиции!DF42+Инвестиции!DF71+Инвестиции!DF72+Инвестиции!DF73</f>
        <v>0</v>
      </c>
      <c r="DD19" s="136">
        <f>Инвестиции!DG4+Инвестиции!DG5+Инвестиции!DG7+Инвестиции!DG8+Инвестиции!DG9+Инвестиции!DG10+Инвестиции!DG41+Инвестиции!DG42+Инвестиции!DG71+Инвестиции!DG72+Инвестиции!DG73</f>
        <v>0</v>
      </c>
      <c r="DE19" s="136">
        <f>Инвестиции!DH4+Инвестиции!DH5+Инвестиции!DH7+Инвестиции!DH8+Инвестиции!DH9+Инвестиции!DH10+Инвестиции!DH41+Инвестиции!DH42+Инвестиции!DH71+Инвестиции!DH72+Инвестиции!DH73</f>
        <v>0</v>
      </c>
      <c r="DF19" s="136">
        <f>Инвестиции!DI4+Инвестиции!DI5+Инвестиции!DI7+Инвестиции!DI8+Инвестиции!DI9+Инвестиции!DI10+Инвестиции!DI41+Инвестиции!DI42+Инвестиции!DI71+Инвестиции!DI72+Инвестиции!DI73</f>
        <v>0</v>
      </c>
      <c r="DG19" s="136">
        <f>Инвестиции!DJ4+Инвестиции!DJ5+Инвестиции!DJ7+Инвестиции!DJ8+Инвестиции!DJ9+Инвестиции!DJ10+Инвестиции!DJ41+Инвестиции!DJ42+Инвестиции!DJ71+Инвестиции!DJ72+Инвестиции!DJ73</f>
        <v>0</v>
      </c>
      <c r="DH19" s="136">
        <f>Инвестиции!DK4+Инвестиции!DK5+Инвестиции!DK7+Инвестиции!DK8+Инвестиции!DK9+Инвестиции!DK10+Инвестиции!DK41+Инвестиции!DK42+Инвестиции!DK71+Инвестиции!DK72+Инвестиции!DK73</f>
        <v>0</v>
      </c>
      <c r="DI19" s="136">
        <f>Инвестиции!DL4+Инвестиции!DL5+Инвестиции!DL7+Инвестиции!DL8+Инвестиции!DL9+Инвестиции!DL10+Инвестиции!DL41+Инвестиции!DL42+Инвестиции!DL71+Инвестиции!DL72+Инвестиции!DL73</f>
        <v>0</v>
      </c>
      <c r="DJ19" s="136">
        <f>Инвестиции!DM4+Инвестиции!DM5+Инвестиции!DM7+Инвестиции!DM8+Инвестиции!DM9+Инвестиции!DM10+Инвестиции!DM41+Инвестиции!DM42+Инвестиции!DM71+Инвестиции!DM72+Инвестиции!DM73</f>
        <v>0</v>
      </c>
      <c r="DK19" s="136">
        <f>Инвестиции!DN4+Инвестиции!DN5+Инвестиции!DN7+Инвестиции!DN8+Инвестиции!DN9+Инвестиции!DN10+Инвестиции!DN41+Инвестиции!DN42+Инвестиции!DN71+Инвестиции!DN72+Инвестиции!DN73</f>
        <v>0</v>
      </c>
      <c r="DL19" s="136">
        <f>Инвестиции!DO4+Инвестиции!DO5+Инвестиции!DO7+Инвестиции!DO8+Инвестиции!DO9+Инвестиции!DO10+Инвестиции!DO41+Инвестиции!DO42+Инвестиции!DO71+Инвестиции!DO72+Инвестиции!DO73</f>
        <v>0</v>
      </c>
      <c r="DM19" s="136">
        <f>Инвестиции!DP4+Инвестиции!DP5+Инвестиции!DP7+Инвестиции!DP8+Инвестиции!DP9+Инвестиции!DP10+Инвестиции!DP41+Инвестиции!DP42+Инвестиции!DP71+Инвестиции!DP72+Инвестиции!DP73</f>
        <v>0</v>
      </c>
      <c r="DN19" s="136">
        <f>Инвестиции!DQ4+Инвестиции!DQ5+Инвестиции!DQ7+Инвестиции!DQ8+Инвестиции!DQ9+Инвестиции!DQ10+Инвестиции!DQ41+Инвестиции!DQ42+Инвестиции!DQ71+Инвестиции!DQ72+Инвестиции!DQ73</f>
        <v>0</v>
      </c>
      <c r="DO19" s="136">
        <f>Инвестиции!DR4+Инвестиции!DR5+Инвестиции!DR7+Инвестиции!DR8+Инвестиции!DR9+Инвестиции!DR10+Инвестиции!DR41+Инвестиции!DR42+Инвестиции!DR71+Инвестиции!DR72+Инвестиции!DR73</f>
        <v>0</v>
      </c>
      <c r="DP19" s="136">
        <f>Инвестиции!DS4+Инвестиции!DS5+Инвестиции!DS7+Инвестиции!DS8+Инвестиции!DS9+Инвестиции!DS10+Инвестиции!DS41+Инвестиции!DS42+Инвестиции!DS71+Инвестиции!DS72+Инвестиции!DS73</f>
        <v>0</v>
      </c>
      <c r="DQ19" s="136">
        <f>Инвестиции!DT4+Инвестиции!DT5+Инвестиции!DT7+Инвестиции!DT8+Инвестиции!DT9+Инвестиции!DT10+Инвестиции!DT41+Инвестиции!DT42+Инвестиции!DT71+Инвестиции!DT72+Инвестиции!DT73</f>
        <v>0</v>
      </c>
      <c r="DR19" s="136">
        <f>Инвестиции!DU4+Инвестиции!DU5+Инвестиции!DU7+Инвестиции!DU8+Инвестиции!DU9+Инвестиции!DU10+Инвестиции!DU41+Инвестиции!DU42+Инвестиции!DU71+Инвестиции!DU72+Инвестиции!DU73</f>
        <v>0</v>
      </c>
      <c r="DS19" s="136">
        <f>Инвестиции!DV4+Инвестиции!DV5+Инвестиции!DV7+Инвестиции!DV8+Инвестиции!DV9+Инвестиции!DV10+Инвестиции!DV41+Инвестиции!DV42+Инвестиции!DV71+Инвестиции!DV72+Инвестиции!DV73</f>
        <v>0</v>
      </c>
      <c r="DT19" s="136">
        <f>Инвестиции!DW4+Инвестиции!DW5+Инвестиции!DW7+Инвестиции!DW8+Инвестиции!DW9+Инвестиции!DW10+Инвестиции!DW41+Инвестиции!DW42+Инвестиции!DW71+Инвестиции!DW72+Инвестиции!DW73</f>
        <v>0</v>
      </c>
      <c r="DU19" s="136">
        <f>Инвестиции!DX4+Инвестиции!DX5+Инвестиции!DX7+Инвестиции!DX8+Инвестиции!DX9+Инвестиции!DX10+Инвестиции!DX41+Инвестиции!DX42+Инвестиции!DX71+Инвестиции!DX72+Инвестиции!DX73</f>
        <v>0</v>
      </c>
      <c r="DV19" s="136">
        <f>Инвестиции!DY4+Инвестиции!DY5+Инвестиции!DY7+Инвестиции!DY8+Инвестиции!DY9+Инвестиции!DY10+Инвестиции!DY41+Инвестиции!DY42+Инвестиции!DY71+Инвестиции!DY72+Инвестиции!DY73</f>
        <v>0</v>
      </c>
      <c r="DW19" s="136">
        <f>Инвестиции!DZ4+Инвестиции!DZ5+Инвестиции!DZ7+Инвестиции!DZ8+Инвестиции!DZ9+Инвестиции!DZ10+Инвестиции!DZ41+Инвестиции!DZ42+Инвестиции!DZ71+Инвестиции!DZ72+Инвестиции!DZ73</f>
        <v>0</v>
      </c>
      <c r="DX19" s="136">
        <f>Инвестиции!EA4+Инвестиции!EA5+Инвестиции!EA7+Инвестиции!EA8+Инвестиции!EA9+Инвестиции!EA10+Инвестиции!EA41+Инвестиции!EA42+Инвестиции!EA71+Инвестиции!EA72+Инвестиции!EA73</f>
        <v>0</v>
      </c>
      <c r="DY19" s="136">
        <f>Инвестиции!EB4+Инвестиции!EB5+Инвестиции!EB7+Инвестиции!EB8+Инвестиции!EB9+Инвестиции!EB10+Инвестиции!EB41+Инвестиции!EB42+Инвестиции!EB71+Инвестиции!EB72+Инвестиции!EB73</f>
        <v>0</v>
      </c>
      <c r="DZ19" s="136">
        <f>Инвестиции!EC4+Инвестиции!EC5+Инвестиции!EC7+Инвестиции!EC8+Инвестиции!EC9+Инвестиции!EC10+Инвестиции!EC41+Инвестиции!EC42+Инвестиции!EC71+Инвестиции!EC72+Инвестиции!EC73</f>
        <v>0</v>
      </c>
      <c r="EA19" s="136">
        <f>Инвестиции!ED4+Инвестиции!ED5+Инвестиции!ED7+Инвестиции!ED8+Инвестиции!ED9+Инвестиции!ED10+Инвестиции!ED41+Инвестиции!ED42+Инвестиции!ED71+Инвестиции!ED72+Инвестиции!ED73</f>
        <v>0</v>
      </c>
      <c r="EB19" s="136">
        <f>Инвестиции!EE4+Инвестиции!EE5+Инвестиции!EE7+Инвестиции!EE8+Инвестиции!EE9+Инвестиции!EE10+Инвестиции!EE41+Инвестиции!EE42+Инвестиции!EE71+Инвестиции!EE72+Инвестиции!EE73</f>
        <v>0</v>
      </c>
      <c r="EC19" s="136">
        <f>Инвестиции!EF4+Инвестиции!EF5+Инвестиции!EF7+Инвестиции!EF8+Инвестиции!EF9+Инвестиции!EF10+Инвестиции!EF41+Инвестиции!EF42+Инвестиции!EF71+Инвестиции!EF72+Инвестиции!EF73</f>
        <v>0</v>
      </c>
      <c r="ED19" s="136">
        <f>Инвестиции!EG4+Инвестиции!EG5+Инвестиции!EG7+Инвестиции!EG8+Инвестиции!EG9+Инвестиции!EG10+Инвестиции!EG41+Инвестиции!EG42+Инвестиции!EG71+Инвестиции!EG72+Инвестиции!EG73</f>
        <v>0</v>
      </c>
    </row>
    <row r="20" spans="2:134" s="60" customFormat="1" ht="12.6" customHeight="1">
      <c r="B20" s="136" t="s">
        <v>446</v>
      </c>
      <c r="C20" s="136">
        <f>Инвестиции!F11+Инвестиции!F12+Инвестиции!F13+Инвестиции!F14+Инвестиции!F43+Инвестиции!F44+Инвестиции!F45+Инвестиции!F48+Инвестиции!F49+Инвестиции!F50+Инвестиции!F51+Инвестиции!F52+Инвестиции!F53+Инвестиции!F54+Инвестиции!F55+Инвестиции!F56+Инвестиции!F57+Инвестиции!F58+Инвестиции!F59+Инвестиции!F60+Инвестиции!F61+Инвестиции!F62+Инвестиции!F63+Инвестиции!F64+Инвестиции!F65+Инвестиции!F66+Инвестиции!F67</f>
        <v>0</v>
      </c>
      <c r="D20" s="136">
        <f>Инвестиции!G11+Инвестиции!G12+Инвестиции!G13+Инвестиции!G14+Инвестиции!G43+Инвестиции!G44+Инвестиции!G45+Инвестиции!G48+Инвестиции!G49+Инвестиции!G50+Инвестиции!G51+Инвестиции!G52+Инвестиции!G53+Инвестиции!G54+Инвестиции!G55+Инвестиции!G56+Инвестиции!G57+Инвестиции!G58+Инвестиции!G59+Инвестиции!G60+Инвестиции!G61+Инвестиции!G62+Инвестиции!G63+Инвестиции!G64+Инвестиции!G65+Инвестиции!G66+Инвестиции!G67</f>
        <v>0</v>
      </c>
      <c r="E20" s="136">
        <f>Инвестиции!H11+Инвестиции!H12+Инвестиции!H13+Инвестиции!H14+Инвестиции!H43+Инвестиции!H44+Инвестиции!H45+Инвестиции!H48+Инвестиции!H49+Инвестиции!H50+Инвестиции!H51+Инвестиции!H52+Инвестиции!H53+Инвестиции!H54+Инвестиции!H55+Инвестиции!H56+Инвестиции!H57+Инвестиции!H58+Инвестиции!H59+Инвестиции!H60+Инвестиции!H61+Инвестиции!H62+Инвестиции!H63+Инвестиции!H64+Инвестиции!H65+Инвестиции!H66+Инвестиции!H67</f>
        <v>0</v>
      </c>
      <c r="F20" s="136">
        <f>Инвестиции!I11+Инвестиции!I12+Инвестиции!I13+Инвестиции!I14+Инвестиции!I43+Инвестиции!I44+Инвестиции!I45+Инвестиции!I48+Инвестиции!I49+Инвестиции!I50+Инвестиции!I51+Инвестиции!I52+Инвестиции!I53+Инвестиции!I54+Инвестиции!I55+Инвестиции!I56+Инвестиции!I57+Инвестиции!I58+Инвестиции!I59+Инвестиции!I60+Инвестиции!I61+Инвестиции!I62+Инвестиции!I63+Инвестиции!I64+Инвестиции!I65+Инвестиции!I66+Инвестиции!I67</f>
        <v>0</v>
      </c>
      <c r="G20" s="136">
        <f>Инвестиции!J11+Инвестиции!J12+Инвестиции!J13+Инвестиции!J14+Инвестиции!J43+Инвестиции!J44+Инвестиции!J45+Инвестиции!J48+Инвестиции!J49+Инвестиции!J50+Инвестиции!J51+Инвестиции!J52+Инвестиции!J53+Инвестиции!J54+Инвестиции!J55+Инвестиции!J56+Инвестиции!J57+Инвестиции!J58+Инвестиции!J59+Инвестиции!J60+Инвестиции!J61+Инвестиции!J62+Инвестиции!J63+Инвестиции!J64+Инвестиции!J65+Инвестиции!J66+Инвестиции!J67</f>
        <v>0</v>
      </c>
      <c r="H20" s="136">
        <f>Инвестиции!K11+Инвестиции!K12+Инвестиции!K13+Инвестиции!K14+Инвестиции!K43+Инвестиции!K44+Инвестиции!K45+Инвестиции!K48+Инвестиции!K49+Инвестиции!K50+Инвестиции!K51+Инвестиции!K52+Инвестиции!K53+Инвестиции!K54+Инвестиции!K55+Инвестиции!K56+Инвестиции!K57+Инвестиции!K58+Инвестиции!K59+Инвестиции!K60+Инвестиции!K61+Инвестиции!K62+Инвестиции!K63+Инвестиции!K64+Инвестиции!K65+Инвестиции!K66+Инвестиции!K67</f>
        <v>0</v>
      </c>
      <c r="I20" s="136">
        <f>Инвестиции!L11+Инвестиции!L12+Инвестиции!L13+Инвестиции!L14+Инвестиции!L43+Инвестиции!L44+Инвестиции!L45+Инвестиции!L48+Инвестиции!L49+Инвестиции!L50+Инвестиции!L51+Инвестиции!L52+Инвестиции!L53+Инвестиции!L54+Инвестиции!L55+Инвестиции!L56+Инвестиции!L57+Инвестиции!L58+Инвестиции!L59+Инвестиции!L60+Инвестиции!L61+Инвестиции!L62+Инвестиции!L63+Инвестиции!L64+Инвестиции!L65+Инвестиции!L66+Инвестиции!L67</f>
        <v>0</v>
      </c>
      <c r="J20" s="136">
        <f>Инвестиции!M11+Инвестиции!M12+Инвестиции!M13+Инвестиции!M14+Инвестиции!M43+Инвестиции!M44+Инвестиции!M45+Инвестиции!M48+Инвестиции!M49+Инвестиции!M50+Инвестиции!M51+Инвестиции!M52+Инвестиции!M53+Инвестиции!M54+Инвестиции!M55+Инвестиции!M56+Инвестиции!M57+Инвестиции!M58+Инвестиции!M59+Инвестиции!M60+Инвестиции!M61+Инвестиции!M62+Инвестиции!M63+Инвестиции!M64+Инвестиции!M65+Инвестиции!M66+Инвестиции!M67</f>
        <v>0</v>
      </c>
      <c r="K20" s="136">
        <f>Инвестиции!N11+Инвестиции!N12+Инвестиции!N13+Инвестиции!N14+Инвестиции!N43+Инвестиции!N44+Инвестиции!N45+Инвестиции!N48+Инвестиции!N49+Инвестиции!N50+Инвестиции!N51+Инвестиции!N52+Инвестиции!N53+Инвестиции!N54+Инвестиции!N55+Инвестиции!N56+Инвестиции!N57+Инвестиции!N58+Инвестиции!N59+Инвестиции!N60+Инвестиции!N61+Инвестиции!N62+Инвестиции!N63+Инвестиции!N64+Инвестиции!N65+Инвестиции!N66+Инвестиции!N67</f>
        <v>0</v>
      </c>
      <c r="L20" s="136">
        <f>Инвестиции!O11+Инвестиции!O12+Инвестиции!O13+Инвестиции!O14+Инвестиции!O43+Инвестиции!O44+Инвестиции!O45+Инвестиции!O48+Инвестиции!O49+Инвестиции!O50+Инвестиции!O51+Инвестиции!O52+Инвестиции!O53+Инвестиции!O54+Инвестиции!O55+Инвестиции!O56+Инвестиции!O57+Инвестиции!O58+Инвестиции!O59+Инвестиции!O60+Инвестиции!O61+Инвестиции!O62+Инвестиции!O63+Инвестиции!O64+Инвестиции!O65+Инвестиции!O66+Инвестиции!O67</f>
        <v>0</v>
      </c>
      <c r="M20" s="136">
        <f>Инвестиции!P11+Инвестиции!P12+Инвестиции!P13+Инвестиции!P14+Инвестиции!P43+Инвестиции!P44+Инвестиции!P45+Инвестиции!P48+Инвестиции!P49+Инвестиции!P50+Инвестиции!P51+Инвестиции!P52+Инвестиции!P53+Инвестиции!P54+Инвестиции!P55+Инвестиции!P56+Инвестиции!P57+Инвестиции!P58+Инвестиции!P59+Инвестиции!P60+Инвестиции!P61+Инвестиции!P62+Инвестиции!P63+Инвестиции!P64+Инвестиции!P65+Инвестиции!P66+Инвестиции!P67</f>
        <v>0</v>
      </c>
      <c r="N20" s="136">
        <f>Инвестиции!Q11+Инвестиции!Q12+Инвестиции!Q13+Инвестиции!Q14+Инвестиции!Q43+Инвестиции!Q44+Инвестиции!Q45+Инвестиции!Q48+Инвестиции!Q49+Инвестиции!Q50+Инвестиции!Q51+Инвестиции!Q52+Инвестиции!Q53+Инвестиции!Q54+Инвестиции!Q55+Инвестиции!Q56+Инвестиции!Q57+Инвестиции!Q58+Инвестиции!Q59+Инвестиции!Q60+Инвестиции!Q61+Инвестиции!Q62+Инвестиции!Q63+Инвестиции!Q64+Инвестиции!Q65+Инвестиции!Q66+Инвестиции!Q67</f>
        <v>0</v>
      </c>
      <c r="O20" s="136">
        <f>Инвестиции!R11+Инвестиции!R12+Инвестиции!R13+Инвестиции!R14+Инвестиции!R43+Инвестиции!R44+Инвестиции!R45+Инвестиции!R48+Инвестиции!R49+Инвестиции!R50+Инвестиции!R51+Инвестиции!R52+Инвестиции!R53+Инвестиции!R54+Инвестиции!R55+Инвестиции!R56+Инвестиции!R57+Инвестиции!R58+Инвестиции!R59+Инвестиции!R60+Инвестиции!R61+Инвестиции!R62+Инвестиции!R63+Инвестиции!R64+Инвестиции!R65+Инвестиции!R66+Инвестиции!R67</f>
        <v>26000</v>
      </c>
      <c r="P20" s="136">
        <f>Инвестиции!S11+Инвестиции!S12+Инвестиции!S13+Инвестиции!S14+Инвестиции!S43+Инвестиции!S44+Инвестиции!S45+Инвестиции!S48+Инвестиции!S49+Инвестиции!S50+Инвестиции!S51+Инвестиции!S52+Инвестиции!S53+Инвестиции!S54+Инвестиции!S55+Инвестиции!S56+Инвестиции!S57+Инвестиции!S58+Инвестиции!S59+Инвестиции!S60+Инвестиции!S61+Инвестиции!S62+Инвестиции!S63+Инвестиции!S64+Инвестиции!S65+Инвестиции!S66+Инвестиции!S67</f>
        <v>0</v>
      </c>
      <c r="Q20" s="136">
        <f>Инвестиции!T11+Инвестиции!T12+Инвестиции!T13+Инвестиции!T14+Инвестиции!T43+Инвестиции!T44+Инвестиции!T45+Инвестиции!T48+Инвестиции!T49+Инвестиции!T50+Инвестиции!T51+Инвестиции!T52+Инвестиции!T53+Инвестиции!T54+Инвестиции!T55+Инвестиции!T56+Инвестиции!T57+Инвестиции!T58+Инвестиции!T59+Инвестиции!T60+Инвестиции!T61+Инвестиции!T62+Инвестиции!T63+Инвестиции!T64+Инвестиции!T65+Инвестиции!T66+Инвестиции!T67</f>
        <v>395.28</v>
      </c>
      <c r="R20" s="136">
        <f>Инвестиции!U11+Инвестиции!U12+Инвестиции!U13+Инвестиции!U14+Инвестиции!U43+Инвестиции!U44+Инвестиции!U45+Инвестиции!U48+Инвестиции!U49+Инвестиции!U50+Инвестиции!U51+Инвестиции!U52+Инвестиции!U53+Инвестиции!U54+Инвестиции!U55+Инвестиции!U56+Инвестиции!U57+Инвестиции!U58+Инвестиции!U59+Инвестиции!U60+Инвестиции!U61+Инвестиции!U62+Инвестиции!U63+Инвестиции!U64+Инвестиции!U65+Инвестиции!U66+Инвестиции!U67</f>
        <v>45288.47</v>
      </c>
      <c r="S20" s="136">
        <f>Инвестиции!V11+Инвестиции!V12+Инвестиции!V13+Инвестиции!V14+Инвестиции!V43+Инвестиции!V44+Инвестиции!V45+Инвестиции!V48+Инвестиции!V49+Инвестиции!V50+Инвестиции!V51+Инвестиции!V52+Инвестиции!V53+Инвестиции!V54+Инвестиции!V55+Инвестиции!V56+Инвестиции!V57+Инвестиции!V58+Инвестиции!V59+Инвестиции!V60+Инвестиции!V61+Инвестиции!V62+Инвестиции!V63+Инвестиции!V64+Инвестиции!V65+Инвестиции!V66+Инвестиции!V67</f>
        <v>7569.8</v>
      </c>
      <c r="T20" s="136">
        <f>Инвестиции!W11+Инвестиции!W12+Инвестиции!W13+Инвестиции!W14+Инвестиции!W43+Инвестиции!W44+Инвестиции!W45+Инвестиции!W48+Инвестиции!W49+Инвестиции!W50+Инвестиции!W51+Инвестиции!W52+Инвестиции!W53+Инвестиции!W54+Инвестиции!W55+Инвестиции!W56+Инвестиции!W57+Инвестиции!W58+Инвестиции!W59+Инвестиции!W60+Инвестиции!W61+Инвестиции!W62+Инвестиции!W63+Инвестиции!W64+Инвестиции!W65+Инвестиции!W66+Инвестиции!W67</f>
        <v>635.54999999999995</v>
      </c>
      <c r="U20" s="136">
        <f>Инвестиции!X11+Инвестиции!X12+Инвестиции!X13+Инвестиции!X14+Инвестиции!X43+Инвестиции!X44+Инвестиции!X45+Инвестиции!X48+Инвестиции!X49+Инвестиции!X50+Инвестиции!X51+Инвестиции!X52+Инвестиции!X53+Инвестиции!X54+Инвестиции!X55+Инвестиции!X56+Инвестиции!X57+Инвестиции!X58+Инвестиции!X59+Инвестиции!X60+Инвестиции!X61+Инвестиции!X62+Инвестиции!X63+Инвестиции!X64+Инвестиции!X65+Инвестиции!X66+Инвестиции!X67</f>
        <v>570.20000000000005</v>
      </c>
      <c r="V20" s="136">
        <f>Инвестиции!Y11+Инвестиции!Y12+Инвестиции!Y13+Инвестиции!Y14+Инвестиции!Y43+Инвестиции!Y44+Инвестиции!Y45+Инвестиции!Y48+Инвестиции!Y49+Инвестиции!Y50+Инвестиции!Y51+Инвестиции!Y52+Инвестиции!Y53+Инвестиции!Y54+Инвестиции!Y55+Инвестиции!Y56+Инвестиции!Y57+Инвестиции!Y58+Инвестиции!Y59+Инвестиции!Y60+Инвестиции!Y61+Инвестиции!Y62+Инвестиции!Y63+Инвестиции!Y64+Инвестиции!Y65+Инвестиции!Y66+Инвестиции!Y67</f>
        <v>47.3</v>
      </c>
      <c r="W20" s="136">
        <f>Инвестиции!Z11+Инвестиции!Z12+Инвестиции!Z13+Инвестиции!Z14+Инвестиции!Z43+Инвестиции!Z44+Инвестиции!Z45+Инвестиции!Z48+Инвестиции!Z49+Инвестиции!Z50+Инвестиции!Z51+Инвестиции!Z52+Инвестиции!Z53+Инвестиции!Z54+Инвестиции!Z55+Инвестиции!Z56+Инвестиции!Z57+Инвестиции!Z58+Инвестиции!Z59+Инвестиции!Z60+Инвестиции!Z61+Инвестиции!Z62+Инвестиции!Z63+Инвестиции!Z64+Инвестиции!Z65+Инвестиции!Z66+Инвестиции!Z67</f>
        <v>2772.3620000000001</v>
      </c>
      <c r="X20" s="136">
        <f>Инвестиции!AA11+Инвестиции!AA12+Инвестиции!AA13+Инвестиции!AA14+Инвестиции!AA43+Инвестиции!AA44+Инвестиции!AA45+Инвестиции!AA48+Инвестиции!AA49+Инвестиции!AA50+Инвестиции!AA51+Инвестиции!AA52+Инвестиции!AA53+Инвестиции!AA54+Инвестиции!AA55+Инвестиции!AA56+Инвестиции!AA57+Инвестиции!AA58+Инвестиции!AA59+Инвестиции!AA60+Инвестиции!AA61+Инвестиции!AA62+Инвестиции!AA63+Инвестиции!AA64+Инвестиции!AA65+Инвестиции!AA66+Инвестиции!AA67</f>
        <v>3720.3280000000004</v>
      </c>
      <c r="Y20" s="136">
        <f>Инвестиции!AB11+Инвестиции!AB12+Инвестиции!AB13+Инвестиции!AB14+Инвестиции!AB43+Инвестиции!AB44+Инвестиции!AB45+Инвестиции!AB48+Инвестиции!AB49+Инвестиции!AB50+Инвестиции!AB51+Инвестиции!AB52+Инвестиции!AB53+Инвестиции!AB54+Инвестиции!AB55+Инвестиции!AB56+Инвестиции!AB57+Инвестиции!AB58+Инвестиции!AB59+Инвестиции!AB60+Инвестиции!AB61+Инвестиции!AB62+Инвестиции!AB63+Инвестиции!AB64+Инвестиции!AB65+Инвестиции!AB66+Инвестиции!AB67</f>
        <v>1553.5</v>
      </c>
      <c r="Z20" s="136">
        <f>Инвестиции!AC11+Инвестиции!AC12+Инвестиции!AC13+Инвестиции!AC14+Инвестиции!AC43+Инвестиции!AC44+Инвестиции!AC45+Инвестиции!AC48+Инвестиции!AC49+Инвестиции!AC50+Инвестиции!AC51+Инвестиции!AC52+Инвестиции!AC53+Инвестиции!AC54+Инвестиции!AC55+Инвестиции!AC56+Инвестиции!AC57+Инвестиции!AC58+Инвестиции!AC59+Инвестиции!AC60+Инвестиции!AC61+Инвестиции!AC62+Инвестиции!AC63+Инвестиции!AC64+Инвестиции!AC65+Инвестиции!AC66+Инвестиции!AC67</f>
        <v>732.8</v>
      </c>
      <c r="AA20" s="136">
        <f>Инвестиции!AD11+Инвестиции!AD12+Инвестиции!AD13+Инвестиции!AD14+Инвестиции!AD43+Инвестиции!AD44+Инвестиции!AD45+Инвестиции!AD48+Инвестиции!AD49+Инвестиции!AD50+Инвестиции!AD51+Инвестиции!AD52+Инвестиции!AD53+Инвестиции!AD54+Инвестиции!AD55+Инвестиции!AD56+Инвестиции!AD57+Инвестиции!AD58+Инвестиции!AD59+Инвестиции!AD60+Инвестиции!AD61+Инвестиции!AD62+Инвестиции!AD63+Инвестиции!AD64+Инвестиции!AD65+Инвестиции!AD66+Инвестиции!AD67</f>
        <v>0</v>
      </c>
      <c r="AB20" s="136">
        <f>Инвестиции!AE11+Инвестиции!AE12+Инвестиции!AE13+Инвестиции!AE14+Инвестиции!AE43+Инвестиции!AE44+Инвестиции!AE45+Инвестиции!AE48+Инвестиции!AE49+Инвестиции!AE50+Инвестиции!AE51+Инвестиции!AE52+Инвестиции!AE53+Инвестиции!AE54+Инвестиции!AE55+Инвестиции!AE56+Инвестиции!AE57+Инвестиции!AE58+Инвестиции!AE59+Инвестиции!AE60+Инвестиции!AE61+Инвестиции!AE62+Инвестиции!AE63+Инвестиции!AE64+Инвестиции!AE65+Инвестиции!AE66+Инвестиции!AE67</f>
        <v>0</v>
      </c>
      <c r="AC20" s="136">
        <f>Инвестиции!AF11+Инвестиции!AF12+Инвестиции!AF13+Инвестиции!AF14+Инвестиции!AF43+Инвестиции!AF44+Инвестиции!AF45+Инвестиции!AF48+Инвестиции!AF49+Инвестиции!AF50+Инвестиции!AF51+Инвестиции!AF52+Инвестиции!AF53+Инвестиции!AF54+Инвестиции!AF55+Инвестиции!AF56+Инвестиции!AF57+Инвестиции!AF58+Инвестиции!AF59+Инвестиции!AF60+Инвестиции!AF61+Инвестиции!AF62+Инвестиции!AF63+Инвестиции!AF64+Инвестиции!AF65+Инвестиции!AF66+Инвестиции!AF67</f>
        <v>15300.78</v>
      </c>
      <c r="AD20" s="136">
        <f>Инвестиции!AG11+Инвестиции!AG12+Инвестиции!AG13+Инвестиции!AG14+Инвестиции!AG43+Инвестиции!AG44+Инвестиции!AG45+Инвестиции!AG48+Инвестиции!AG49+Инвестиции!AG50+Инвестиции!AG51+Инвестиции!AG52+Инвестиции!AG53+Инвестиции!AG54+Инвестиции!AG55+Инвестиции!AG56+Инвестиции!AG57+Инвестиции!AG58+Инвестиции!AG59+Инвестиции!AG60+Инвестиции!AG61+Инвестиции!AG62+Инвестиции!AG63+Инвестиции!AG64+Инвестиции!AG65+Инвестиции!AG66+Инвестиции!AG67</f>
        <v>0</v>
      </c>
      <c r="AE20" s="136">
        <f>Инвестиции!AH11+Инвестиции!AH12+Инвестиции!AH13+Инвестиции!AH14+Инвестиции!AH43+Инвестиции!AH44+Инвестиции!AH45+Инвестиции!AH48+Инвестиции!AH49+Инвестиции!AH50+Инвестиции!AH51+Инвестиции!AH52+Инвестиции!AH53+Инвестиции!AH54+Инвестиции!AH55+Инвестиции!AH56+Инвестиции!AH57+Инвестиции!AH58+Инвестиции!AH59+Инвестиции!AH60+Инвестиции!AH61+Инвестиции!AH62+Инвестиции!AH63+Инвестиции!AH64+Инвестиции!AH65+Инвестиции!AH66+Инвестиции!AH67</f>
        <v>0</v>
      </c>
      <c r="AF20" s="136">
        <f>Инвестиции!AI11+Инвестиции!AI12+Инвестиции!AI13+Инвестиции!AI14+Инвестиции!AI43+Инвестиции!AI44+Инвестиции!AI45+Инвестиции!AI48+Инвестиции!AI49+Инвестиции!AI50+Инвестиции!AI51+Инвестиции!AI52+Инвестиции!AI53+Инвестиции!AI54+Инвестиции!AI55+Инвестиции!AI56+Инвестиции!AI57+Инвестиции!AI58+Инвестиции!AI59+Инвестиции!AI60+Инвестиции!AI61+Инвестиции!AI62+Инвестиции!AI63+Инвестиции!AI64+Инвестиции!AI65+Инвестиции!AI66+Инвестиции!AI67</f>
        <v>0</v>
      </c>
      <c r="AG20" s="136">
        <f>Инвестиции!AJ11+Инвестиции!AJ12+Инвестиции!AJ13+Инвестиции!AJ14+Инвестиции!AJ43+Инвестиции!AJ44+Инвестиции!AJ45+Инвестиции!AJ48+Инвестиции!AJ49+Инвестиции!AJ50+Инвестиции!AJ51+Инвестиции!AJ52+Инвестиции!AJ53+Инвестиции!AJ54+Инвестиции!AJ55+Инвестиции!AJ56+Инвестиции!AJ57+Инвестиции!AJ58+Инвестиции!AJ59+Инвестиции!AJ60+Инвестиции!AJ61+Инвестиции!AJ62+Инвестиции!AJ63+Инвестиции!AJ64+Инвестиции!AJ65+Инвестиции!AJ66+Инвестиции!AJ67</f>
        <v>0</v>
      </c>
      <c r="AH20" s="136">
        <f>Инвестиции!AK11+Инвестиции!AK12+Инвестиции!AK13+Инвестиции!AK14+Инвестиции!AK43+Инвестиции!AK44+Инвестиции!AK45+Инвестиции!AK48+Инвестиции!AK49+Инвестиции!AK50+Инвестиции!AK51+Инвестиции!AK52+Инвестиции!AK53+Инвестиции!AK54+Инвестиции!AK55+Инвестиции!AK56+Инвестиции!AK57+Инвестиции!AK58+Инвестиции!AK59+Инвестиции!AK60+Инвестиции!AK61+Инвестиции!AK62+Инвестиции!AK63+Инвестиции!AK64+Инвестиции!AK65+Инвестиции!AK66+Инвестиции!AK67</f>
        <v>0</v>
      </c>
      <c r="AI20" s="136">
        <f>Инвестиции!AL11+Инвестиции!AL12+Инвестиции!AL13+Инвестиции!AL14+Инвестиции!AL43+Инвестиции!AL44+Инвестиции!AL45+Инвестиции!AL48+Инвестиции!AL49+Инвестиции!AL50+Инвестиции!AL51+Инвестиции!AL52+Инвестиции!AL53+Инвестиции!AL54+Инвестиции!AL55+Инвестиции!AL56+Инвестиции!AL57+Инвестиции!AL58+Инвестиции!AL59+Инвестиции!AL60+Инвестиции!AL61+Инвестиции!AL62+Инвестиции!AL63+Инвестиции!AL64+Инвестиции!AL65+Инвестиции!AL66+Инвестиции!AL67</f>
        <v>0</v>
      </c>
      <c r="AJ20" s="136">
        <f>Инвестиции!AM11+Инвестиции!AM12+Инвестиции!AM13+Инвестиции!AM14+Инвестиции!AM43+Инвестиции!AM44+Инвестиции!AM45+Инвестиции!AM48+Инвестиции!AM49+Инвестиции!AM50+Инвестиции!AM51+Инвестиции!AM52+Инвестиции!AM53+Инвестиции!AM54+Инвестиции!AM55+Инвестиции!AM56+Инвестиции!AM57+Инвестиции!AM58+Инвестиции!AM59+Инвестиции!AM60+Инвестиции!AM61+Инвестиции!AM62+Инвестиции!AM63+Инвестиции!AM64+Инвестиции!AM65+Инвестиции!AM66+Инвестиции!AM67</f>
        <v>0</v>
      </c>
      <c r="AK20" s="136">
        <f>Инвестиции!AN11+Инвестиции!AN12+Инвестиции!AN13+Инвестиции!AN14+Инвестиции!AN43+Инвестиции!AN44+Инвестиции!AN45+Инвестиции!AN48+Инвестиции!AN49+Инвестиции!AN50+Инвестиции!AN51+Инвестиции!AN52+Инвестиции!AN53+Инвестиции!AN54+Инвестиции!AN55+Инвестиции!AN56+Инвестиции!AN57+Инвестиции!AN58+Инвестиции!AN59+Инвестиции!AN60+Инвестиции!AN61+Инвестиции!AN62+Инвестиции!AN63+Инвестиции!AN64+Инвестиции!AN65+Инвестиции!AN66+Инвестиции!AN67</f>
        <v>0</v>
      </c>
      <c r="AL20" s="136">
        <f>Инвестиции!AO11+Инвестиции!AO12+Инвестиции!AO13+Инвестиции!AO14+Инвестиции!AO43+Инвестиции!AO44+Инвестиции!AO45+Инвестиции!AO48+Инвестиции!AO49+Инвестиции!AO50+Инвестиции!AO51+Инвестиции!AO52+Инвестиции!AO53+Инвестиции!AO54+Инвестиции!AO55+Инвестиции!AO56+Инвестиции!AO57+Инвестиции!AO58+Инвестиции!AO59+Инвестиции!AO60+Инвестиции!AO61+Инвестиции!AO62+Инвестиции!AO63+Инвестиции!AO64+Инвестиции!AO65+Инвестиции!AO66+Инвестиции!AO67</f>
        <v>0</v>
      </c>
      <c r="AM20" s="136">
        <f>Инвестиции!AP11+Инвестиции!AP12+Инвестиции!AP13+Инвестиции!AP14+Инвестиции!AP43+Инвестиции!AP44+Инвестиции!AP45+Инвестиции!AP48+Инвестиции!AP49+Инвестиции!AP50+Инвестиции!AP51+Инвестиции!AP52+Инвестиции!AP53+Инвестиции!AP54+Инвестиции!AP55+Инвестиции!AP56+Инвестиции!AP57+Инвестиции!AP58+Инвестиции!AP59+Инвестиции!AP60+Инвестиции!AP61+Инвестиции!AP62+Инвестиции!AP63+Инвестиции!AP64+Инвестиции!AP65+Инвестиции!AP66+Инвестиции!AP67</f>
        <v>0</v>
      </c>
      <c r="AN20" s="136">
        <f>Инвестиции!AQ11+Инвестиции!AQ12+Инвестиции!AQ13+Инвестиции!AQ14+Инвестиции!AQ43+Инвестиции!AQ44+Инвестиции!AQ45+Инвестиции!AQ48+Инвестиции!AQ49+Инвестиции!AQ50+Инвестиции!AQ51+Инвестиции!AQ52+Инвестиции!AQ53+Инвестиции!AQ54+Инвестиции!AQ55+Инвестиции!AQ56+Инвестиции!AQ57+Инвестиции!AQ58+Инвестиции!AQ59+Инвестиции!AQ60+Инвестиции!AQ61+Инвестиции!AQ62+Инвестиции!AQ63+Инвестиции!AQ64+Инвестиции!AQ65+Инвестиции!AQ66+Инвестиции!AQ67</f>
        <v>0</v>
      </c>
      <c r="AO20" s="136">
        <f>Инвестиции!AR11+Инвестиции!AR12+Инвестиции!AR13+Инвестиции!AR14+Инвестиции!AR43+Инвестиции!AR44+Инвестиции!AR45+Инвестиции!AR48+Инвестиции!AR49+Инвестиции!AR50+Инвестиции!AR51+Инвестиции!AR52+Инвестиции!AR53+Инвестиции!AR54+Инвестиции!AR55+Инвестиции!AR56+Инвестиции!AR57+Инвестиции!AR58+Инвестиции!AR59+Инвестиции!AR60+Инвестиции!AR61+Инвестиции!AR62+Инвестиции!AR63+Инвестиции!AR64+Инвестиции!AR65+Инвестиции!AR66+Инвестиции!AR67</f>
        <v>0</v>
      </c>
      <c r="AP20" s="136">
        <f>Инвестиции!AS11+Инвестиции!AS12+Инвестиции!AS13+Инвестиции!AS14+Инвестиции!AS43+Инвестиции!AS44+Инвестиции!AS45+Инвестиции!AS48+Инвестиции!AS49+Инвестиции!AS50+Инвестиции!AS51+Инвестиции!AS52+Инвестиции!AS53+Инвестиции!AS54+Инвестиции!AS55+Инвестиции!AS56+Инвестиции!AS57+Инвестиции!AS58+Инвестиции!AS59+Инвестиции!AS60+Инвестиции!AS61+Инвестиции!AS62+Инвестиции!AS63+Инвестиции!AS64+Инвестиции!AS65+Инвестиции!AS66+Инвестиции!AS67</f>
        <v>0</v>
      </c>
      <c r="AQ20" s="136">
        <f>Инвестиции!AT11+Инвестиции!AT12+Инвестиции!AT13+Инвестиции!AT14+Инвестиции!AT43+Инвестиции!AT44+Инвестиции!AT45+Инвестиции!AT48+Инвестиции!AT49+Инвестиции!AT50+Инвестиции!AT51+Инвестиции!AT52+Инвестиции!AT53+Инвестиции!AT54+Инвестиции!AT55+Инвестиции!AT56+Инвестиции!AT57+Инвестиции!AT58+Инвестиции!AT59+Инвестиции!AT60+Инвестиции!AT61+Инвестиции!AT62+Инвестиции!AT63+Инвестиции!AT64+Инвестиции!AT65+Инвестиции!AT66+Инвестиции!AT67</f>
        <v>0</v>
      </c>
      <c r="AR20" s="136">
        <f>Инвестиции!AU11+Инвестиции!AU12+Инвестиции!AU13+Инвестиции!AU14+Инвестиции!AU43+Инвестиции!AU44+Инвестиции!AU45+Инвестиции!AU48+Инвестиции!AU49+Инвестиции!AU50+Инвестиции!AU51+Инвестиции!AU52+Инвестиции!AU53+Инвестиции!AU54+Инвестиции!AU55+Инвестиции!AU56+Инвестиции!AU57+Инвестиции!AU58+Инвестиции!AU59+Инвестиции!AU60+Инвестиции!AU61+Инвестиции!AU62+Инвестиции!AU63+Инвестиции!AU64+Инвестиции!AU65+Инвестиции!AU66+Инвестиции!AU67</f>
        <v>0</v>
      </c>
      <c r="AS20" s="136">
        <f>Инвестиции!AV11+Инвестиции!AV12+Инвестиции!AV13+Инвестиции!AV14+Инвестиции!AV43+Инвестиции!AV44+Инвестиции!AV45+Инвестиции!AV48+Инвестиции!AV49+Инвестиции!AV50+Инвестиции!AV51+Инвестиции!AV52+Инвестиции!AV53+Инвестиции!AV54+Инвестиции!AV55+Инвестиции!AV56+Инвестиции!AV57+Инвестиции!AV58+Инвестиции!AV59+Инвестиции!AV60+Инвестиции!AV61+Инвестиции!AV62+Инвестиции!AV63+Инвестиции!AV64+Инвестиции!AV65+Инвестиции!AV66+Инвестиции!AV67</f>
        <v>0</v>
      </c>
      <c r="AT20" s="136">
        <f>Инвестиции!AW11+Инвестиции!AW12+Инвестиции!AW13+Инвестиции!AW14+Инвестиции!AW43+Инвестиции!AW44+Инвестиции!AW45+Инвестиции!AW48+Инвестиции!AW49+Инвестиции!AW50+Инвестиции!AW51+Инвестиции!AW52+Инвестиции!AW53+Инвестиции!AW54+Инвестиции!AW55+Инвестиции!AW56+Инвестиции!AW57+Инвестиции!AW58+Инвестиции!AW59+Инвестиции!AW60+Инвестиции!AW61+Инвестиции!AW62+Инвестиции!AW63+Инвестиции!AW64+Инвестиции!AW65+Инвестиции!AW66+Инвестиции!AW67</f>
        <v>0</v>
      </c>
      <c r="AU20" s="136">
        <f>Инвестиции!AX11+Инвестиции!AX12+Инвестиции!AX13+Инвестиции!AX14+Инвестиции!AX43+Инвестиции!AX44+Инвестиции!AX45+Инвестиции!AX48+Инвестиции!AX49+Инвестиции!AX50+Инвестиции!AX51+Инвестиции!AX52+Инвестиции!AX53+Инвестиции!AX54+Инвестиции!AX55+Инвестиции!AX56+Инвестиции!AX57+Инвестиции!AX58+Инвестиции!AX59+Инвестиции!AX60+Инвестиции!AX61+Инвестиции!AX62+Инвестиции!AX63+Инвестиции!AX64+Инвестиции!AX65+Инвестиции!AX66+Инвестиции!AX67</f>
        <v>0</v>
      </c>
      <c r="AV20" s="136">
        <f>Инвестиции!AY11+Инвестиции!AY12+Инвестиции!AY13+Инвестиции!AY14+Инвестиции!AY43+Инвестиции!AY44+Инвестиции!AY45+Инвестиции!AY48+Инвестиции!AY49+Инвестиции!AY50+Инвестиции!AY51+Инвестиции!AY52+Инвестиции!AY53+Инвестиции!AY54+Инвестиции!AY55+Инвестиции!AY56+Инвестиции!AY57+Инвестиции!AY58+Инвестиции!AY59+Инвестиции!AY60+Инвестиции!AY61+Инвестиции!AY62+Инвестиции!AY63+Инвестиции!AY64+Инвестиции!AY65+Инвестиции!AY66+Инвестиции!AY67</f>
        <v>0</v>
      </c>
      <c r="AW20" s="136">
        <f>Инвестиции!AZ11+Инвестиции!AZ12+Инвестиции!AZ13+Инвестиции!AZ14+Инвестиции!AZ43+Инвестиции!AZ44+Инвестиции!AZ45+Инвестиции!AZ48+Инвестиции!AZ49+Инвестиции!AZ50+Инвестиции!AZ51+Инвестиции!AZ52+Инвестиции!AZ53+Инвестиции!AZ54+Инвестиции!AZ55+Инвестиции!AZ56+Инвестиции!AZ57+Инвестиции!AZ58+Инвестиции!AZ59+Инвестиции!AZ60+Инвестиции!AZ61+Инвестиции!AZ62+Инвестиции!AZ63+Инвестиции!AZ64+Инвестиции!AZ65+Инвестиции!AZ66+Инвестиции!AZ67</f>
        <v>0</v>
      </c>
      <c r="AX20" s="136">
        <f>Инвестиции!BA11+Инвестиции!BA12+Инвестиции!BA13+Инвестиции!BA14+Инвестиции!BA43+Инвестиции!BA44+Инвестиции!BA45+Инвестиции!BA48+Инвестиции!BA49+Инвестиции!BA50+Инвестиции!BA51+Инвестиции!BA52+Инвестиции!BA53+Инвестиции!BA54+Инвестиции!BA55+Инвестиции!BA56+Инвестиции!BA57+Инвестиции!BA58+Инвестиции!BA59+Инвестиции!BA60+Инвестиции!BA61+Инвестиции!BA62+Инвестиции!BA63+Инвестиции!BA64+Инвестиции!BA65+Инвестиции!BA66+Инвестиции!BA67</f>
        <v>0</v>
      </c>
      <c r="AY20" s="136">
        <f>Инвестиции!BB11+Инвестиции!BB12+Инвестиции!BB13+Инвестиции!BB14+Инвестиции!BB43+Инвестиции!BB44+Инвестиции!BB45+Инвестиции!BB48+Инвестиции!BB49+Инвестиции!BB50+Инвестиции!BB51+Инвестиции!BB52+Инвестиции!BB53+Инвестиции!BB54+Инвестиции!BB55+Инвестиции!BB56+Инвестиции!BB57+Инвестиции!BB58+Инвестиции!BB59+Инвестиции!BB60+Инвестиции!BB61+Инвестиции!BB62+Инвестиции!BB63+Инвестиции!BB64+Инвестиции!BB65+Инвестиции!BB66+Инвестиции!BB67</f>
        <v>0</v>
      </c>
      <c r="AZ20" s="136">
        <f>Инвестиции!BC11+Инвестиции!BC12+Инвестиции!BC13+Инвестиции!BC14+Инвестиции!BC43+Инвестиции!BC44+Инвестиции!BC45+Инвестиции!BC48+Инвестиции!BC49+Инвестиции!BC50+Инвестиции!BC51+Инвестиции!BC52+Инвестиции!BC53+Инвестиции!BC54+Инвестиции!BC55+Инвестиции!BC56+Инвестиции!BC57+Инвестиции!BC58+Инвестиции!BC59+Инвестиции!BC60+Инвестиции!BC61+Инвестиции!BC62+Инвестиции!BC63+Инвестиции!BC64+Инвестиции!BC65+Инвестиции!BC66+Инвестиции!BC67</f>
        <v>0</v>
      </c>
      <c r="BA20" s="136">
        <f>Инвестиции!BD11+Инвестиции!BD12+Инвестиции!BD13+Инвестиции!BD14+Инвестиции!BD43+Инвестиции!BD44+Инвестиции!BD45+Инвестиции!BD48+Инвестиции!BD49+Инвестиции!BD50+Инвестиции!BD51+Инвестиции!BD52+Инвестиции!BD53+Инвестиции!BD54+Инвестиции!BD55+Инвестиции!BD56+Инвестиции!BD57+Инвестиции!BD58+Инвестиции!BD59+Инвестиции!BD60+Инвестиции!BD61+Инвестиции!BD62+Инвестиции!BD63+Инвестиции!BD64+Инвестиции!BD65+Инвестиции!BD66+Инвестиции!BD67</f>
        <v>0</v>
      </c>
      <c r="BB20" s="136">
        <f>Инвестиции!BE11+Инвестиции!BE12+Инвестиции!BE13+Инвестиции!BE14+Инвестиции!BE43+Инвестиции!BE44+Инвестиции!BE45+Инвестиции!BE48+Инвестиции!BE49+Инвестиции!BE50+Инвестиции!BE51+Инвестиции!BE52+Инвестиции!BE53+Инвестиции!BE54+Инвестиции!BE55+Инвестиции!BE56+Инвестиции!BE57+Инвестиции!BE58+Инвестиции!BE59+Инвестиции!BE60+Инвестиции!BE61+Инвестиции!BE62+Инвестиции!BE63+Инвестиции!BE64+Инвестиции!BE65+Инвестиции!BE66+Инвестиции!BE67</f>
        <v>0</v>
      </c>
      <c r="BC20" s="136">
        <f>Инвестиции!BF11+Инвестиции!BF12+Инвестиции!BF13+Инвестиции!BF14+Инвестиции!BF43+Инвестиции!BF44+Инвестиции!BF45+Инвестиции!BF48+Инвестиции!BF49+Инвестиции!BF50+Инвестиции!BF51+Инвестиции!BF52+Инвестиции!BF53+Инвестиции!BF54+Инвестиции!BF55+Инвестиции!BF56+Инвестиции!BF57+Инвестиции!BF58+Инвестиции!BF59+Инвестиции!BF60+Инвестиции!BF61+Инвестиции!BF62+Инвестиции!BF63+Инвестиции!BF64+Инвестиции!BF65+Инвестиции!BF66+Инвестиции!BF67</f>
        <v>0</v>
      </c>
      <c r="BD20" s="136">
        <f>Инвестиции!BG11+Инвестиции!BG12+Инвестиции!BG13+Инвестиции!BG14+Инвестиции!BG43+Инвестиции!BG44+Инвестиции!BG45+Инвестиции!BG48+Инвестиции!BG49+Инвестиции!BG50+Инвестиции!BG51+Инвестиции!BG52+Инвестиции!BG53+Инвестиции!BG54+Инвестиции!BG55+Инвестиции!BG56+Инвестиции!BG57+Инвестиции!BG58+Инвестиции!BG59+Инвестиции!BG60+Инвестиции!BG61+Инвестиции!BG62+Инвестиции!BG63+Инвестиции!BG64+Инвестиции!BG65+Инвестиции!BG66+Инвестиции!BG67</f>
        <v>0</v>
      </c>
      <c r="BE20" s="136">
        <f>Инвестиции!BH11+Инвестиции!BH12+Инвестиции!BH13+Инвестиции!BH14+Инвестиции!BH43+Инвестиции!BH44+Инвестиции!BH45+Инвестиции!BH48+Инвестиции!BH49+Инвестиции!BH50+Инвестиции!BH51+Инвестиции!BH52+Инвестиции!BH53+Инвестиции!BH54+Инвестиции!BH55+Инвестиции!BH56+Инвестиции!BH57+Инвестиции!BH58+Инвестиции!BH59+Инвестиции!BH60+Инвестиции!BH61+Инвестиции!BH62+Инвестиции!BH63+Инвестиции!BH64+Инвестиции!BH65+Инвестиции!BH66+Инвестиции!BH67</f>
        <v>0</v>
      </c>
      <c r="BF20" s="136">
        <f>Инвестиции!BI11+Инвестиции!BI12+Инвестиции!BI13+Инвестиции!BI14+Инвестиции!BI43+Инвестиции!BI44+Инвестиции!BI45+Инвестиции!BI48+Инвестиции!BI49+Инвестиции!BI50+Инвестиции!BI51+Инвестиции!BI52+Инвестиции!BI53+Инвестиции!BI54+Инвестиции!BI55+Инвестиции!BI56+Инвестиции!BI57+Инвестиции!BI58+Инвестиции!BI59+Инвестиции!BI60+Инвестиции!BI61+Инвестиции!BI62+Инвестиции!BI63+Инвестиции!BI64+Инвестиции!BI65+Инвестиции!BI66+Инвестиции!BI67</f>
        <v>0</v>
      </c>
      <c r="BG20" s="136">
        <f>Инвестиции!BJ11+Инвестиции!BJ12+Инвестиции!BJ13+Инвестиции!BJ14+Инвестиции!BJ43+Инвестиции!BJ44+Инвестиции!BJ45+Инвестиции!BJ48+Инвестиции!BJ49+Инвестиции!BJ50+Инвестиции!BJ51+Инвестиции!BJ52+Инвестиции!BJ53+Инвестиции!BJ54+Инвестиции!BJ55+Инвестиции!BJ56+Инвестиции!BJ57+Инвестиции!BJ58+Инвестиции!BJ59+Инвестиции!BJ60+Инвестиции!BJ61+Инвестиции!BJ62+Инвестиции!BJ63+Инвестиции!BJ64+Инвестиции!BJ65+Инвестиции!BJ66+Инвестиции!BJ67</f>
        <v>0</v>
      </c>
      <c r="BH20" s="136">
        <f>Инвестиции!BK11+Инвестиции!BK12+Инвестиции!BK13+Инвестиции!BK14+Инвестиции!BK43+Инвестиции!BK44+Инвестиции!BK45+Инвестиции!BK48+Инвестиции!BK49+Инвестиции!BK50+Инвестиции!BK51+Инвестиции!BK52+Инвестиции!BK53+Инвестиции!BK54+Инвестиции!BK55+Инвестиции!BK56+Инвестиции!BK57+Инвестиции!BK58+Инвестиции!BK59+Инвестиции!BK60+Инвестиции!BK61+Инвестиции!BK62+Инвестиции!BK63+Инвестиции!BK64+Инвестиции!BK65+Инвестиции!BK66+Инвестиции!BK67</f>
        <v>0</v>
      </c>
      <c r="BI20" s="136">
        <f>Инвестиции!BL11+Инвестиции!BL12+Инвестиции!BL13+Инвестиции!BL14+Инвестиции!BL43+Инвестиции!BL44+Инвестиции!BL45+Инвестиции!BL48+Инвестиции!BL49+Инвестиции!BL50+Инвестиции!BL51+Инвестиции!BL52+Инвестиции!BL53+Инвестиции!BL54+Инвестиции!BL55+Инвестиции!BL56+Инвестиции!BL57+Инвестиции!BL58+Инвестиции!BL59+Инвестиции!BL60+Инвестиции!BL61+Инвестиции!BL62+Инвестиции!BL63+Инвестиции!BL64+Инвестиции!BL65+Инвестиции!BL66+Инвестиции!BL67</f>
        <v>0</v>
      </c>
      <c r="BJ20" s="136">
        <f>Инвестиции!BM11+Инвестиции!BM12+Инвестиции!BM13+Инвестиции!BM14+Инвестиции!BM43+Инвестиции!BM44+Инвестиции!BM45+Инвестиции!BM48+Инвестиции!BM49+Инвестиции!BM50+Инвестиции!BM51+Инвестиции!BM52+Инвестиции!BM53+Инвестиции!BM54+Инвестиции!BM55+Инвестиции!BM56+Инвестиции!BM57+Инвестиции!BM58+Инвестиции!BM59+Инвестиции!BM60+Инвестиции!BM61+Инвестиции!BM62+Инвестиции!BM63+Инвестиции!BM64+Инвестиции!BM65+Инвестиции!BM66+Инвестиции!BM67</f>
        <v>0</v>
      </c>
      <c r="BK20" s="136">
        <f>Инвестиции!BN11+Инвестиции!BN12+Инвестиции!BN13+Инвестиции!BN14+Инвестиции!BN43+Инвестиции!BN44+Инвестиции!BN45+Инвестиции!BN48+Инвестиции!BN49+Инвестиции!BN50+Инвестиции!BN51+Инвестиции!BN52+Инвестиции!BN53+Инвестиции!BN54+Инвестиции!BN55+Инвестиции!BN56+Инвестиции!BN57+Инвестиции!BN58+Инвестиции!BN59+Инвестиции!BN60+Инвестиции!BN61+Инвестиции!BN62+Инвестиции!BN63+Инвестиции!BN64+Инвестиции!BN65+Инвестиции!BN66+Инвестиции!BN67</f>
        <v>0</v>
      </c>
      <c r="BL20" s="136">
        <f>Инвестиции!BO11+Инвестиции!BO12+Инвестиции!BO13+Инвестиции!BO14+Инвестиции!BO43+Инвестиции!BO44+Инвестиции!BO45+Инвестиции!BO48+Инвестиции!BO49+Инвестиции!BO50+Инвестиции!BO51+Инвестиции!BO52+Инвестиции!BO53+Инвестиции!BO54+Инвестиции!BO55+Инвестиции!BO56+Инвестиции!BO57+Инвестиции!BO58+Инвестиции!BO59+Инвестиции!BO60+Инвестиции!BO61+Инвестиции!BO62+Инвестиции!BO63+Инвестиции!BO64+Инвестиции!BO65+Инвестиции!BO66+Инвестиции!BO67</f>
        <v>0</v>
      </c>
      <c r="BM20" s="136">
        <f>Инвестиции!BP11+Инвестиции!BP12+Инвестиции!BP13+Инвестиции!BP14+Инвестиции!BP43+Инвестиции!BP44+Инвестиции!BP45+Инвестиции!BP48+Инвестиции!BP49+Инвестиции!BP50+Инвестиции!BP51+Инвестиции!BP52+Инвестиции!BP53+Инвестиции!BP54+Инвестиции!BP55+Инвестиции!BP56+Инвестиции!BP57+Инвестиции!BP58+Инвестиции!BP59+Инвестиции!BP60+Инвестиции!BP61+Инвестиции!BP62+Инвестиции!BP63+Инвестиции!BP64+Инвестиции!BP65+Инвестиции!BP66+Инвестиции!BP67</f>
        <v>0</v>
      </c>
      <c r="BN20" s="136">
        <f>Инвестиции!BQ11+Инвестиции!BQ12+Инвестиции!BQ13+Инвестиции!BQ14+Инвестиции!BQ43+Инвестиции!BQ44+Инвестиции!BQ45+Инвестиции!BQ48+Инвестиции!BQ49+Инвестиции!BQ50+Инвестиции!BQ51+Инвестиции!BQ52+Инвестиции!BQ53+Инвестиции!BQ54+Инвестиции!BQ55+Инвестиции!BQ56+Инвестиции!BQ57+Инвестиции!BQ58+Инвестиции!BQ59+Инвестиции!BQ60+Инвестиции!BQ61+Инвестиции!BQ62+Инвестиции!BQ63+Инвестиции!BQ64+Инвестиции!BQ65+Инвестиции!BQ66+Инвестиции!BQ67</f>
        <v>0</v>
      </c>
      <c r="BO20" s="136">
        <f>Инвестиции!BR11+Инвестиции!BR12+Инвестиции!BR13+Инвестиции!BR14+Инвестиции!BR43+Инвестиции!BR44+Инвестиции!BR45+Инвестиции!BR48+Инвестиции!BR49+Инвестиции!BR50+Инвестиции!BR51+Инвестиции!BR52+Инвестиции!BR53+Инвестиции!BR54+Инвестиции!BR55+Инвестиции!BR56+Инвестиции!BR57+Инвестиции!BR58+Инвестиции!BR59+Инвестиции!BR60+Инвестиции!BR61+Инвестиции!BR62+Инвестиции!BR63+Инвестиции!BR64+Инвестиции!BR65+Инвестиции!BR66+Инвестиции!BR67</f>
        <v>0</v>
      </c>
      <c r="BP20" s="136">
        <f>Инвестиции!BS11+Инвестиции!BS12+Инвестиции!BS13+Инвестиции!BS14+Инвестиции!BS43+Инвестиции!BS44+Инвестиции!BS45+Инвестиции!BS48+Инвестиции!BS49+Инвестиции!BS50+Инвестиции!BS51+Инвестиции!BS52+Инвестиции!BS53+Инвестиции!BS54+Инвестиции!BS55+Инвестиции!BS56+Инвестиции!BS57+Инвестиции!BS58+Инвестиции!BS59+Инвестиции!BS60+Инвестиции!BS61+Инвестиции!BS62+Инвестиции!BS63+Инвестиции!BS64+Инвестиции!BS65+Инвестиции!BS66+Инвестиции!BS67</f>
        <v>0</v>
      </c>
      <c r="BQ20" s="136">
        <f>Инвестиции!BT11+Инвестиции!BT12+Инвестиции!BT13+Инвестиции!BT14+Инвестиции!BT43+Инвестиции!BT44+Инвестиции!BT45+Инвестиции!BT48+Инвестиции!BT49+Инвестиции!BT50+Инвестиции!BT51+Инвестиции!BT52+Инвестиции!BT53+Инвестиции!BT54+Инвестиции!BT55+Инвестиции!BT56+Инвестиции!BT57+Инвестиции!BT58+Инвестиции!BT59+Инвестиции!BT60+Инвестиции!BT61+Инвестиции!BT62+Инвестиции!BT63+Инвестиции!BT64+Инвестиции!BT65+Инвестиции!BT66+Инвестиции!BT67</f>
        <v>0</v>
      </c>
      <c r="BR20" s="136">
        <f>Инвестиции!BU11+Инвестиции!BU12+Инвестиции!BU13+Инвестиции!BU14+Инвестиции!BU43+Инвестиции!BU44+Инвестиции!BU45+Инвестиции!BU48+Инвестиции!BU49+Инвестиции!BU50+Инвестиции!BU51+Инвестиции!BU52+Инвестиции!BU53+Инвестиции!BU54+Инвестиции!BU55+Инвестиции!BU56+Инвестиции!BU57+Инвестиции!BU58+Инвестиции!BU59+Инвестиции!BU60+Инвестиции!BU61+Инвестиции!BU62+Инвестиции!BU63+Инвестиции!BU64+Инвестиции!BU65+Инвестиции!BU66+Инвестиции!BU67</f>
        <v>0</v>
      </c>
      <c r="BS20" s="136">
        <f>Инвестиции!BV11+Инвестиции!BV12+Инвестиции!BV13+Инвестиции!BV14+Инвестиции!BV43+Инвестиции!BV44+Инвестиции!BV45+Инвестиции!BV48+Инвестиции!BV49+Инвестиции!BV50+Инвестиции!BV51+Инвестиции!BV52+Инвестиции!BV53+Инвестиции!BV54+Инвестиции!BV55+Инвестиции!BV56+Инвестиции!BV57+Инвестиции!BV58+Инвестиции!BV59+Инвестиции!BV60+Инвестиции!BV61+Инвестиции!BV62+Инвестиции!BV63+Инвестиции!BV64+Инвестиции!BV65+Инвестиции!BV66+Инвестиции!BV67</f>
        <v>0</v>
      </c>
      <c r="BT20" s="136">
        <f>Инвестиции!BW11+Инвестиции!BW12+Инвестиции!BW13+Инвестиции!BW14+Инвестиции!BW43+Инвестиции!BW44+Инвестиции!BW45+Инвестиции!BW48+Инвестиции!BW49+Инвестиции!BW50+Инвестиции!BW51+Инвестиции!BW52+Инвестиции!BW53+Инвестиции!BW54+Инвестиции!BW55+Инвестиции!BW56+Инвестиции!BW57+Инвестиции!BW58+Инвестиции!BW59+Инвестиции!BW60+Инвестиции!BW61+Инвестиции!BW62+Инвестиции!BW63+Инвестиции!BW64+Инвестиции!BW65+Инвестиции!BW66+Инвестиции!BW67</f>
        <v>0</v>
      </c>
      <c r="BU20" s="136">
        <f>Инвестиции!BX11+Инвестиции!BX12+Инвестиции!BX13+Инвестиции!BX14+Инвестиции!BX43+Инвестиции!BX44+Инвестиции!BX45+Инвестиции!BX48+Инвестиции!BX49+Инвестиции!BX50+Инвестиции!BX51+Инвестиции!BX52+Инвестиции!BX53+Инвестиции!BX54+Инвестиции!BX55+Инвестиции!BX56+Инвестиции!BX57+Инвестиции!BX58+Инвестиции!BX59+Инвестиции!BX60+Инвестиции!BX61+Инвестиции!BX62+Инвестиции!BX63+Инвестиции!BX64+Инвестиции!BX65+Инвестиции!BX66+Инвестиции!BX67</f>
        <v>0</v>
      </c>
      <c r="BV20" s="136">
        <f>Инвестиции!BY11+Инвестиции!BY12+Инвестиции!BY13+Инвестиции!BY14+Инвестиции!BY43+Инвестиции!BY44+Инвестиции!BY45+Инвестиции!BY48+Инвестиции!BY49+Инвестиции!BY50+Инвестиции!BY51+Инвестиции!BY52+Инвестиции!BY53+Инвестиции!BY54+Инвестиции!BY55+Инвестиции!BY56+Инвестиции!BY57+Инвестиции!BY58+Инвестиции!BY59+Инвестиции!BY60+Инвестиции!BY61+Инвестиции!BY62+Инвестиции!BY63+Инвестиции!BY64+Инвестиции!BY65+Инвестиции!BY66+Инвестиции!BY67</f>
        <v>0</v>
      </c>
      <c r="BW20" s="136">
        <f>Инвестиции!BZ11+Инвестиции!BZ12+Инвестиции!BZ13+Инвестиции!BZ14+Инвестиции!BZ43+Инвестиции!BZ44+Инвестиции!BZ45+Инвестиции!BZ48+Инвестиции!BZ49+Инвестиции!BZ50+Инвестиции!BZ51+Инвестиции!BZ52+Инвестиции!BZ53+Инвестиции!BZ54+Инвестиции!BZ55+Инвестиции!BZ56+Инвестиции!BZ57+Инвестиции!BZ58+Инвестиции!BZ59+Инвестиции!BZ60+Инвестиции!BZ61+Инвестиции!BZ62+Инвестиции!BZ63+Инвестиции!BZ64+Инвестиции!BZ65+Инвестиции!BZ66+Инвестиции!BZ67</f>
        <v>0</v>
      </c>
      <c r="BX20" s="136">
        <f>Инвестиции!CA11+Инвестиции!CA12+Инвестиции!CA13+Инвестиции!CA14+Инвестиции!CA43+Инвестиции!CA44+Инвестиции!CA45+Инвестиции!CA48+Инвестиции!CA49+Инвестиции!CA50+Инвестиции!CA51+Инвестиции!CA52+Инвестиции!CA53+Инвестиции!CA54+Инвестиции!CA55+Инвестиции!CA56+Инвестиции!CA57+Инвестиции!CA58+Инвестиции!CA59+Инвестиции!CA60+Инвестиции!CA61+Инвестиции!CA62+Инвестиции!CA63+Инвестиции!CA64+Инвестиции!CA65+Инвестиции!CA66+Инвестиции!CA67</f>
        <v>0</v>
      </c>
      <c r="BY20" s="136">
        <f>Инвестиции!CB11+Инвестиции!CB12+Инвестиции!CB13+Инвестиции!CB14+Инвестиции!CB43+Инвестиции!CB44+Инвестиции!CB45+Инвестиции!CB48+Инвестиции!CB49+Инвестиции!CB50+Инвестиции!CB51+Инвестиции!CB52+Инвестиции!CB53+Инвестиции!CB54+Инвестиции!CB55+Инвестиции!CB56+Инвестиции!CB57+Инвестиции!CB58+Инвестиции!CB59+Инвестиции!CB60+Инвестиции!CB61+Инвестиции!CB62+Инвестиции!CB63+Инвестиции!CB64+Инвестиции!CB65+Инвестиции!CB66+Инвестиции!CB67</f>
        <v>0</v>
      </c>
      <c r="BZ20" s="136">
        <f>Инвестиции!CC11+Инвестиции!CC12+Инвестиции!CC13+Инвестиции!CC14+Инвестиции!CC43+Инвестиции!CC44+Инвестиции!CC45+Инвестиции!CC48+Инвестиции!CC49+Инвестиции!CC50+Инвестиции!CC51+Инвестиции!CC52+Инвестиции!CC53+Инвестиции!CC54+Инвестиции!CC55+Инвестиции!CC56+Инвестиции!CC57+Инвестиции!CC58+Инвестиции!CC59+Инвестиции!CC60+Инвестиции!CC61+Инвестиции!CC62+Инвестиции!CC63+Инвестиции!CC64+Инвестиции!CC65+Инвестиции!CC66+Инвестиции!CC67</f>
        <v>0</v>
      </c>
      <c r="CA20" s="136">
        <f>Инвестиции!CD11+Инвестиции!CD12+Инвестиции!CD13+Инвестиции!CD14+Инвестиции!CD43+Инвестиции!CD44+Инвестиции!CD45+Инвестиции!CD48+Инвестиции!CD49+Инвестиции!CD50+Инвестиции!CD51+Инвестиции!CD52+Инвестиции!CD53+Инвестиции!CD54+Инвестиции!CD55+Инвестиции!CD56+Инвестиции!CD57+Инвестиции!CD58+Инвестиции!CD59+Инвестиции!CD60+Инвестиции!CD61+Инвестиции!CD62+Инвестиции!CD63+Инвестиции!CD64+Инвестиции!CD65+Инвестиции!CD66+Инвестиции!CD67</f>
        <v>0</v>
      </c>
      <c r="CB20" s="136">
        <f>Инвестиции!CE11+Инвестиции!CE12+Инвестиции!CE13+Инвестиции!CE14+Инвестиции!CE43+Инвестиции!CE44+Инвестиции!CE45+Инвестиции!CE48+Инвестиции!CE49+Инвестиции!CE50+Инвестиции!CE51+Инвестиции!CE52+Инвестиции!CE53+Инвестиции!CE54+Инвестиции!CE55+Инвестиции!CE56+Инвестиции!CE57+Инвестиции!CE58+Инвестиции!CE59+Инвестиции!CE60+Инвестиции!CE61+Инвестиции!CE62+Инвестиции!CE63+Инвестиции!CE64+Инвестиции!CE65+Инвестиции!CE66+Инвестиции!CE67</f>
        <v>0</v>
      </c>
      <c r="CC20" s="136">
        <f>Инвестиции!CF11+Инвестиции!CF12+Инвестиции!CF13+Инвестиции!CF14+Инвестиции!CF43+Инвестиции!CF44+Инвестиции!CF45+Инвестиции!CF48+Инвестиции!CF49+Инвестиции!CF50+Инвестиции!CF51+Инвестиции!CF52+Инвестиции!CF53+Инвестиции!CF54+Инвестиции!CF55+Инвестиции!CF56+Инвестиции!CF57+Инвестиции!CF58+Инвестиции!CF59+Инвестиции!CF60+Инвестиции!CF61+Инвестиции!CF62+Инвестиции!CF63+Инвестиции!CF64+Инвестиции!CF65+Инвестиции!CF66+Инвестиции!CF67</f>
        <v>0</v>
      </c>
      <c r="CD20" s="136">
        <f>Инвестиции!CG11+Инвестиции!CG12+Инвестиции!CG13+Инвестиции!CG14+Инвестиции!CG43+Инвестиции!CG44+Инвестиции!CG45+Инвестиции!CG48+Инвестиции!CG49+Инвестиции!CG50+Инвестиции!CG51+Инвестиции!CG52+Инвестиции!CG53+Инвестиции!CG54+Инвестиции!CG55+Инвестиции!CG56+Инвестиции!CG57+Инвестиции!CG58+Инвестиции!CG59+Инвестиции!CG60+Инвестиции!CG61+Инвестиции!CG62+Инвестиции!CG63+Инвестиции!CG64+Инвестиции!CG65+Инвестиции!CG66+Инвестиции!CG67</f>
        <v>0</v>
      </c>
      <c r="CE20" s="136">
        <f>Инвестиции!CH11+Инвестиции!CH12+Инвестиции!CH13+Инвестиции!CH14+Инвестиции!CH43+Инвестиции!CH44+Инвестиции!CH45+Инвестиции!CH48+Инвестиции!CH49+Инвестиции!CH50+Инвестиции!CH51+Инвестиции!CH52+Инвестиции!CH53+Инвестиции!CH54+Инвестиции!CH55+Инвестиции!CH56+Инвестиции!CH57+Инвестиции!CH58+Инвестиции!CH59+Инвестиции!CH60+Инвестиции!CH61+Инвестиции!CH62+Инвестиции!CH63+Инвестиции!CH64+Инвестиции!CH65+Инвестиции!CH66+Инвестиции!CH67</f>
        <v>0</v>
      </c>
      <c r="CF20" s="136">
        <f>Инвестиции!CI11+Инвестиции!CI12+Инвестиции!CI13+Инвестиции!CI14+Инвестиции!CI43+Инвестиции!CI44+Инвестиции!CI45+Инвестиции!CI48+Инвестиции!CI49+Инвестиции!CI50+Инвестиции!CI51+Инвестиции!CI52+Инвестиции!CI53+Инвестиции!CI54+Инвестиции!CI55+Инвестиции!CI56+Инвестиции!CI57+Инвестиции!CI58+Инвестиции!CI59+Инвестиции!CI60+Инвестиции!CI61+Инвестиции!CI62+Инвестиции!CI63+Инвестиции!CI64+Инвестиции!CI65+Инвестиции!CI66+Инвестиции!CI67</f>
        <v>0</v>
      </c>
      <c r="CG20" s="136">
        <f>Инвестиции!CJ11+Инвестиции!CJ12+Инвестиции!CJ13+Инвестиции!CJ14+Инвестиции!CJ43+Инвестиции!CJ44+Инвестиции!CJ45+Инвестиции!CJ48+Инвестиции!CJ49+Инвестиции!CJ50+Инвестиции!CJ51+Инвестиции!CJ52+Инвестиции!CJ53+Инвестиции!CJ54+Инвестиции!CJ55+Инвестиции!CJ56+Инвестиции!CJ57+Инвестиции!CJ58+Инвестиции!CJ59+Инвестиции!CJ60+Инвестиции!CJ61+Инвестиции!CJ62+Инвестиции!CJ63+Инвестиции!CJ64+Инвестиции!CJ65+Инвестиции!CJ66+Инвестиции!CJ67</f>
        <v>0</v>
      </c>
      <c r="CH20" s="136">
        <f>Инвестиции!CK11+Инвестиции!CK12+Инвестиции!CK13+Инвестиции!CK14+Инвестиции!CK43+Инвестиции!CK44+Инвестиции!CK45+Инвестиции!CK48+Инвестиции!CK49+Инвестиции!CK50+Инвестиции!CK51+Инвестиции!CK52+Инвестиции!CK53+Инвестиции!CK54+Инвестиции!CK55+Инвестиции!CK56+Инвестиции!CK57+Инвестиции!CK58+Инвестиции!CK59+Инвестиции!CK60+Инвестиции!CK61+Инвестиции!CK62+Инвестиции!CK63+Инвестиции!CK64+Инвестиции!CK65+Инвестиции!CK66+Инвестиции!CK67</f>
        <v>0</v>
      </c>
      <c r="CI20" s="136">
        <f>Инвестиции!CL11+Инвестиции!CL12+Инвестиции!CL13+Инвестиции!CL14+Инвестиции!CL43+Инвестиции!CL44+Инвестиции!CL45+Инвестиции!CL48+Инвестиции!CL49+Инвестиции!CL50+Инвестиции!CL51+Инвестиции!CL52+Инвестиции!CL53+Инвестиции!CL54+Инвестиции!CL55+Инвестиции!CL56+Инвестиции!CL57+Инвестиции!CL58+Инвестиции!CL59+Инвестиции!CL60+Инвестиции!CL61+Инвестиции!CL62+Инвестиции!CL63+Инвестиции!CL64+Инвестиции!CL65+Инвестиции!CL66+Инвестиции!CL67</f>
        <v>0</v>
      </c>
      <c r="CJ20" s="136">
        <f>Инвестиции!CM11+Инвестиции!CM12+Инвестиции!CM13+Инвестиции!CM14+Инвестиции!CM43+Инвестиции!CM44+Инвестиции!CM45+Инвестиции!CM48+Инвестиции!CM49+Инвестиции!CM50+Инвестиции!CM51+Инвестиции!CM52+Инвестиции!CM53+Инвестиции!CM54+Инвестиции!CM55+Инвестиции!CM56+Инвестиции!CM57+Инвестиции!CM58+Инвестиции!CM59+Инвестиции!CM60+Инвестиции!CM61+Инвестиции!CM62+Инвестиции!CM63+Инвестиции!CM64+Инвестиции!CM65+Инвестиции!CM66+Инвестиции!CM67</f>
        <v>0</v>
      </c>
      <c r="CK20" s="136">
        <f>Инвестиции!CN11+Инвестиции!CN12+Инвестиции!CN13+Инвестиции!CN14+Инвестиции!CN43+Инвестиции!CN44+Инвестиции!CN45+Инвестиции!CN48+Инвестиции!CN49+Инвестиции!CN50+Инвестиции!CN51+Инвестиции!CN52+Инвестиции!CN53+Инвестиции!CN54+Инвестиции!CN55+Инвестиции!CN56+Инвестиции!CN57+Инвестиции!CN58+Инвестиции!CN59+Инвестиции!CN60+Инвестиции!CN61+Инвестиции!CN62+Инвестиции!CN63+Инвестиции!CN64+Инвестиции!CN65+Инвестиции!CN66+Инвестиции!CN67</f>
        <v>0</v>
      </c>
      <c r="CL20" s="136">
        <f>Инвестиции!CO11+Инвестиции!CO12+Инвестиции!CO13+Инвестиции!CO14+Инвестиции!CO43+Инвестиции!CO44+Инвестиции!CO45+Инвестиции!CO48+Инвестиции!CO49+Инвестиции!CO50+Инвестиции!CO51+Инвестиции!CO52+Инвестиции!CO53+Инвестиции!CO54+Инвестиции!CO55+Инвестиции!CO56+Инвестиции!CO57+Инвестиции!CO58+Инвестиции!CO59+Инвестиции!CO60+Инвестиции!CO61+Инвестиции!CO62+Инвестиции!CO63+Инвестиции!CO64+Инвестиции!CO65+Инвестиции!CO66+Инвестиции!CO67</f>
        <v>0</v>
      </c>
      <c r="CM20" s="136">
        <f>Инвестиции!CP11+Инвестиции!CP12+Инвестиции!CP13+Инвестиции!CP14+Инвестиции!CP43+Инвестиции!CP44+Инвестиции!CP45+Инвестиции!CP48+Инвестиции!CP49+Инвестиции!CP50+Инвестиции!CP51+Инвестиции!CP52+Инвестиции!CP53+Инвестиции!CP54+Инвестиции!CP55+Инвестиции!CP56+Инвестиции!CP57+Инвестиции!CP58+Инвестиции!CP59+Инвестиции!CP60+Инвестиции!CP61+Инвестиции!CP62+Инвестиции!CP63+Инвестиции!CP64+Инвестиции!CP65+Инвестиции!CP66+Инвестиции!CP67</f>
        <v>0</v>
      </c>
      <c r="CN20" s="136">
        <f>Инвестиции!CQ11+Инвестиции!CQ12+Инвестиции!CQ13+Инвестиции!CQ14+Инвестиции!CQ43+Инвестиции!CQ44+Инвестиции!CQ45+Инвестиции!CQ48+Инвестиции!CQ49+Инвестиции!CQ50+Инвестиции!CQ51+Инвестиции!CQ52+Инвестиции!CQ53+Инвестиции!CQ54+Инвестиции!CQ55+Инвестиции!CQ56+Инвестиции!CQ57+Инвестиции!CQ58+Инвестиции!CQ59+Инвестиции!CQ60+Инвестиции!CQ61+Инвестиции!CQ62+Инвестиции!CQ63+Инвестиции!CQ64+Инвестиции!CQ65+Инвестиции!CQ66+Инвестиции!CQ67</f>
        <v>0</v>
      </c>
      <c r="CO20" s="136">
        <f>Инвестиции!CR11+Инвестиции!CR12+Инвестиции!CR13+Инвестиции!CR14+Инвестиции!CR43+Инвестиции!CR44+Инвестиции!CR45+Инвестиции!CR48+Инвестиции!CR49+Инвестиции!CR50+Инвестиции!CR51+Инвестиции!CR52+Инвестиции!CR53+Инвестиции!CR54+Инвестиции!CR55+Инвестиции!CR56+Инвестиции!CR57+Инвестиции!CR58+Инвестиции!CR59+Инвестиции!CR60+Инвестиции!CR61+Инвестиции!CR62+Инвестиции!CR63+Инвестиции!CR64+Инвестиции!CR65+Инвестиции!CR66+Инвестиции!CR67</f>
        <v>0</v>
      </c>
      <c r="CP20" s="136">
        <f>Инвестиции!CS11+Инвестиции!CS12+Инвестиции!CS13+Инвестиции!CS14+Инвестиции!CS43+Инвестиции!CS44+Инвестиции!CS45+Инвестиции!CS48+Инвестиции!CS49+Инвестиции!CS50+Инвестиции!CS51+Инвестиции!CS52+Инвестиции!CS53+Инвестиции!CS54+Инвестиции!CS55+Инвестиции!CS56+Инвестиции!CS57+Инвестиции!CS58+Инвестиции!CS59+Инвестиции!CS60+Инвестиции!CS61+Инвестиции!CS62+Инвестиции!CS63+Инвестиции!CS64+Инвестиции!CS65+Инвестиции!CS66+Инвестиции!CS67</f>
        <v>0</v>
      </c>
      <c r="CQ20" s="136">
        <f>Инвестиции!CT11+Инвестиции!CT12+Инвестиции!CT13+Инвестиции!CT14+Инвестиции!CT43+Инвестиции!CT44+Инвестиции!CT45+Инвестиции!CT48+Инвестиции!CT49+Инвестиции!CT50+Инвестиции!CT51+Инвестиции!CT52+Инвестиции!CT53+Инвестиции!CT54+Инвестиции!CT55+Инвестиции!CT56+Инвестиции!CT57+Инвестиции!CT58+Инвестиции!CT59+Инвестиции!CT60+Инвестиции!CT61+Инвестиции!CT62+Инвестиции!CT63+Инвестиции!CT64+Инвестиции!CT65+Инвестиции!CT66+Инвестиции!CT67</f>
        <v>0</v>
      </c>
      <c r="CR20" s="136">
        <f>Инвестиции!CU11+Инвестиции!CU12+Инвестиции!CU13+Инвестиции!CU14+Инвестиции!CU43+Инвестиции!CU44+Инвестиции!CU45+Инвестиции!CU48+Инвестиции!CU49+Инвестиции!CU50+Инвестиции!CU51+Инвестиции!CU52+Инвестиции!CU53+Инвестиции!CU54+Инвестиции!CU55+Инвестиции!CU56+Инвестиции!CU57+Инвестиции!CU58+Инвестиции!CU59+Инвестиции!CU60+Инвестиции!CU61+Инвестиции!CU62+Инвестиции!CU63+Инвестиции!CU64+Инвестиции!CU65+Инвестиции!CU66+Инвестиции!CU67</f>
        <v>0</v>
      </c>
      <c r="CS20" s="136">
        <f>Инвестиции!CV11+Инвестиции!CV12+Инвестиции!CV13+Инвестиции!CV14+Инвестиции!CV43+Инвестиции!CV44+Инвестиции!CV45+Инвестиции!CV48+Инвестиции!CV49+Инвестиции!CV50+Инвестиции!CV51+Инвестиции!CV52+Инвестиции!CV53+Инвестиции!CV54+Инвестиции!CV55+Инвестиции!CV56+Инвестиции!CV57+Инвестиции!CV58+Инвестиции!CV59+Инвестиции!CV60+Инвестиции!CV61+Инвестиции!CV62+Инвестиции!CV63+Инвестиции!CV64+Инвестиции!CV65+Инвестиции!CV66+Инвестиции!CV67</f>
        <v>0</v>
      </c>
      <c r="CT20" s="136">
        <f>Инвестиции!CW11+Инвестиции!CW12+Инвестиции!CW13+Инвестиции!CW14+Инвестиции!CW43+Инвестиции!CW44+Инвестиции!CW45+Инвестиции!CW48+Инвестиции!CW49+Инвестиции!CW50+Инвестиции!CW51+Инвестиции!CW52+Инвестиции!CW53+Инвестиции!CW54+Инвестиции!CW55+Инвестиции!CW56+Инвестиции!CW57+Инвестиции!CW58+Инвестиции!CW59+Инвестиции!CW60+Инвестиции!CW61+Инвестиции!CW62+Инвестиции!CW63+Инвестиции!CW64+Инвестиции!CW65+Инвестиции!CW66+Инвестиции!CW67</f>
        <v>0</v>
      </c>
      <c r="CU20" s="136">
        <f>Инвестиции!CX11+Инвестиции!CX12+Инвестиции!CX13+Инвестиции!CX14+Инвестиции!CX43+Инвестиции!CX44+Инвестиции!CX45+Инвестиции!CX48+Инвестиции!CX49+Инвестиции!CX50+Инвестиции!CX51+Инвестиции!CX52+Инвестиции!CX53+Инвестиции!CX54+Инвестиции!CX55+Инвестиции!CX56+Инвестиции!CX57+Инвестиции!CX58+Инвестиции!CX59+Инвестиции!CX60+Инвестиции!CX61+Инвестиции!CX62+Инвестиции!CX63+Инвестиции!CX64+Инвестиции!CX65+Инвестиции!CX66+Инвестиции!CX67</f>
        <v>0</v>
      </c>
      <c r="CV20" s="136">
        <f>Инвестиции!CY11+Инвестиции!CY12+Инвестиции!CY13+Инвестиции!CY14+Инвестиции!CY43+Инвестиции!CY44+Инвестиции!CY45+Инвестиции!CY48+Инвестиции!CY49+Инвестиции!CY50+Инвестиции!CY51+Инвестиции!CY52+Инвестиции!CY53+Инвестиции!CY54+Инвестиции!CY55+Инвестиции!CY56+Инвестиции!CY57+Инвестиции!CY58+Инвестиции!CY59+Инвестиции!CY60+Инвестиции!CY61+Инвестиции!CY62+Инвестиции!CY63+Инвестиции!CY64+Инвестиции!CY65+Инвестиции!CY66+Инвестиции!CY67</f>
        <v>0</v>
      </c>
      <c r="CW20" s="136">
        <f>Инвестиции!CZ11+Инвестиции!CZ12+Инвестиции!CZ13+Инвестиции!CZ14+Инвестиции!CZ43+Инвестиции!CZ44+Инвестиции!CZ45+Инвестиции!CZ48+Инвестиции!CZ49+Инвестиции!CZ50+Инвестиции!CZ51+Инвестиции!CZ52+Инвестиции!CZ53+Инвестиции!CZ54+Инвестиции!CZ55+Инвестиции!CZ56+Инвестиции!CZ57+Инвестиции!CZ58+Инвестиции!CZ59+Инвестиции!CZ60+Инвестиции!CZ61+Инвестиции!CZ62+Инвестиции!CZ63+Инвестиции!CZ64+Инвестиции!CZ65+Инвестиции!CZ66+Инвестиции!CZ67</f>
        <v>0</v>
      </c>
      <c r="CX20" s="136">
        <f>Инвестиции!DA11+Инвестиции!DA12+Инвестиции!DA13+Инвестиции!DA14+Инвестиции!DA43+Инвестиции!DA44+Инвестиции!DA45+Инвестиции!DA48+Инвестиции!DA49+Инвестиции!DA50+Инвестиции!DA51+Инвестиции!DA52+Инвестиции!DA53+Инвестиции!DA54+Инвестиции!DA55+Инвестиции!DA56+Инвестиции!DA57+Инвестиции!DA58+Инвестиции!DA59+Инвестиции!DA60+Инвестиции!DA61+Инвестиции!DA62+Инвестиции!DA63+Инвестиции!DA64+Инвестиции!DA65+Инвестиции!DA66+Инвестиции!DA67</f>
        <v>0</v>
      </c>
      <c r="CY20" s="136">
        <f>Инвестиции!DB11+Инвестиции!DB12+Инвестиции!DB13+Инвестиции!DB14+Инвестиции!DB43+Инвестиции!DB44+Инвестиции!DB45+Инвестиции!DB48+Инвестиции!DB49+Инвестиции!DB50+Инвестиции!DB51+Инвестиции!DB52+Инвестиции!DB53+Инвестиции!DB54+Инвестиции!DB55+Инвестиции!DB56+Инвестиции!DB57+Инвестиции!DB58+Инвестиции!DB59+Инвестиции!DB60+Инвестиции!DB61+Инвестиции!DB62+Инвестиции!DB63+Инвестиции!DB64+Инвестиции!DB65+Инвестиции!DB66+Инвестиции!DB67</f>
        <v>0</v>
      </c>
      <c r="CZ20" s="136">
        <f>Инвестиции!DC11+Инвестиции!DC12+Инвестиции!DC13+Инвестиции!DC14+Инвестиции!DC43+Инвестиции!DC44+Инвестиции!DC45+Инвестиции!DC48+Инвестиции!DC49+Инвестиции!DC50+Инвестиции!DC51+Инвестиции!DC52+Инвестиции!DC53+Инвестиции!DC54+Инвестиции!DC55+Инвестиции!DC56+Инвестиции!DC57+Инвестиции!DC58+Инвестиции!DC59+Инвестиции!DC60+Инвестиции!DC61+Инвестиции!DC62+Инвестиции!DC63+Инвестиции!DC64+Инвестиции!DC65+Инвестиции!DC66+Инвестиции!DC67</f>
        <v>0</v>
      </c>
      <c r="DA20" s="136">
        <f>Инвестиции!DD11+Инвестиции!DD12+Инвестиции!DD13+Инвестиции!DD14+Инвестиции!DD43+Инвестиции!DD44+Инвестиции!DD45+Инвестиции!DD48+Инвестиции!DD49+Инвестиции!DD50+Инвестиции!DD51+Инвестиции!DD52+Инвестиции!DD53+Инвестиции!DD54+Инвестиции!DD55+Инвестиции!DD56+Инвестиции!DD57+Инвестиции!DD58+Инвестиции!DD59+Инвестиции!DD60+Инвестиции!DD61+Инвестиции!DD62+Инвестиции!DD63+Инвестиции!DD64+Инвестиции!DD65+Инвестиции!DD66+Инвестиции!DD67</f>
        <v>0</v>
      </c>
      <c r="DB20" s="136">
        <f>Инвестиции!DE11+Инвестиции!DE12+Инвестиции!DE13+Инвестиции!DE14+Инвестиции!DE43+Инвестиции!DE44+Инвестиции!DE45+Инвестиции!DE48+Инвестиции!DE49+Инвестиции!DE50+Инвестиции!DE51+Инвестиции!DE52+Инвестиции!DE53+Инвестиции!DE54+Инвестиции!DE55+Инвестиции!DE56+Инвестиции!DE57+Инвестиции!DE58+Инвестиции!DE59+Инвестиции!DE60+Инвестиции!DE61+Инвестиции!DE62+Инвестиции!DE63+Инвестиции!DE64+Инвестиции!DE65+Инвестиции!DE66+Инвестиции!DE67</f>
        <v>0</v>
      </c>
      <c r="DC20" s="136">
        <f>Инвестиции!DF11+Инвестиции!DF12+Инвестиции!DF13+Инвестиции!DF14+Инвестиции!DF43+Инвестиции!DF44+Инвестиции!DF45+Инвестиции!DF48+Инвестиции!DF49+Инвестиции!DF50+Инвестиции!DF51+Инвестиции!DF52+Инвестиции!DF53+Инвестиции!DF54+Инвестиции!DF55+Инвестиции!DF56+Инвестиции!DF57+Инвестиции!DF58+Инвестиции!DF59+Инвестиции!DF60+Инвестиции!DF61+Инвестиции!DF62+Инвестиции!DF63+Инвестиции!DF64+Инвестиции!DF65+Инвестиции!DF66+Инвестиции!DF67</f>
        <v>0</v>
      </c>
      <c r="DD20" s="136">
        <f>Инвестиции!DG11+Инвестиции!DG12+Инвестиции!DG13+Инвестиции!DG14+Инвестиции!DG43+Инвестиции!DG44+Инвестиции!DG45+Инвестиции!DG48+Инвестиции!DG49+Инвестиции!DG50+Инвестиции!DG51+Инвестиции!DG52+Инвестиции!DG53+Инвестиции!DG54+Инвестиции!DG55+Инвестиции!DG56+Инвестиции!DG57+Инвестиции!DG58+Инвестиции!DG59+Инвестиции!DG60+Инвестиции!DG61+Инвестиции!DG62+Инвестиции!DG63+Инвестиции!DG64+Инвестиции!DG65+Инвестиции!DG66+Инвестиции!DG67</f>
        <v>0</v>
      </c>
      <c r="DE20" s="136">
        <f>Инвестиции!DH11+Инвестиции!DH12+Инвестиции!DH13+Инвестиции!DH14+Инвестиции!DH43+Инвестиции!DH44+Инвестиции!DH45+Инвестиции!DH48+Инвестиции!DH49+Инвестиции!DH50+Инвестиции!DH51+Инвестиции!DH52+Инвестиции!DH53+Инвестиции!DH54+Инвестиции!DH55+Инвестиции!DH56+Инвестиции!DH57+Инвестиции!DH58+Инвестиции!DH59+Инвестиции!DH60+Инвестиции!DH61+Инвестиции!DH62+Инвестиции!DH63+Инвестиции!DH64+Инвестиции!DH65+Инвестиции!DH66+Инвестиции!DH67</f>
        <v>0</v>
      </c>
      <c r="DF20" s="136">
        <f>Инвестиции!DI11+Инвестиции!DI12+Инвестиции!DI13+Инвестиции!DI14+Инвестиции!DI43+Инвестиции!DI44+Инвестиции!DI45+Инвестиции!DI48+Инвестиции!DI49+Инвестиции!DI50+Инвестиции!DI51+Инвестиции!DI52+Инвестиции!DI53+Инвестиции!DI54+Инвестиции!DI55+Инвестиции!DI56+Инвестиции!DI57+Инвестиции!DI58+Инвестиции!DI59+Инвестиции!DI60+Инвестиции!DI61+Инвестиции!DI62+Инвестиции!DI63+Инвестиции!DI64+Инвестиции!DI65+Инвестиции!DI66+Инвестиции!DI67</f>
        <v>0</v>
      </c>
      <c r="DG20" s="136">
        <f>Инвестиции!DJ11+Инвестиции!DJ12+Инвестиции!DJ13+Инвестиции!DJ14+Инвестиции!DJ43+Инвестиции!DJ44+Инвестиции!DJ45+Инвестиции!DJ48+Инвестиции!DJ49+Инвестиции!DJ50+Инвестиции!DJ51+Инвестиции!DJ52+Инвестиции!DJ53+Инвестиции!DJ54+Инвестиции!DJ55+Инвестиции!DJ56+Инвестиции!DJ57+Инвестиции!DJ58+Инвестиции!DJ59+Инвестиции!DJ60+Инвестиции!DJ61+Инвестиции!DJ62+Инвестиции!DJ63+Инвестиции!DJ64+Инвестиции!DJ65+Инвестиции!DJ66+Инвестиции!DJ67</f>
        <v>0</v>
      </c>
      <c r="DH20" s="136">
        <f>Инвестиции!DK11+Инвестиции!DK12+Инвестиции!DK13+Инвестиции!DK14+Инвестиции!DK43+Инвестиции!DK44+Инвестиции!DK45+Инвестиции!DK48+Инвестиции!DK49+Инвестиции!DK50+Инвестиции!DK51+Инвестиции!DK52+Инвестиции!DK53+Инвестиции!DK54+Инвестиции!DK55+Инвестиции!DK56+Инвестиции!DK57+Инвестиции!DK58+Инвестиции!DK59+Инвестиции!DK60+Инвестиции!DK61+Инвестиции!DK62+Инвестиции!DK63+Инвестиции!DK64+Инвестиции!DK65+Инвестиции!DK66+Инвестиции!DK67</f>
        <v>0</v>
      </c>
      <c r="DI20" s="136">
        <f>Инвестиции!DL11+Инвестиции!DL12+Инвестиции!DL13+Инвестиции!DL14+Инвестиции!DL43+Инвестиции!DL44+Инвестиции!DL45+Инвестиции!DL48+Инвестиции!DL49+Инвестиции!DL50+Инвестиции!DL51+Инвестиции!DL52+Инвестиции!DL53+Инвестиции!DL54+Инвестиции!DL55+Инвестиции!DL56+Инвестиции!DL57+Инвестиции!DL58+Инвестиции!DL59+Инвестиции!DL60+Инвестиции!DL61+Инвестиции!DL62+Инвестиции!DL63+Инвестиции!DL64+Инвестиции!DL65+Инвестиции!DL66+Инвестиции!DL67</f>
        <v>0</v>
      </c>
      <c r="DJ20" s="136">
        <f>Инвестиции!DM11+Инвестиции!DM12+Инвестиции!DM13+Инвестиции!DM14+Инвестиции!DM43+Инвестиции!DM44+Инвестиции!DM45+Инвестиции!DM48+Инвестиции!DM49+Инвестиции!DM50+Инвестиции!DM51+Инвестиции!DM52+Инвестиции!DM53+Инвестиции!DM54+Инвестиции!DM55+Инвестиции!DM56+Инвестиции!DM57+Инвестиции!DM58+Инвестиции!DM59+Инвестиции!DM60+Инвестиции!DM61+Инвестиции!DM62+Инвестиции!DM63+Инвестиции!DM64+Инвестиции!DM65+Инвестиции!DM66+Инвестиции!DM67</f>
        <v>0</v>
      </c>
      <c r="DK20" s="136">
        <f>Инвестиции!DN11+Инвестиции!DN12+Инвестиции!DN13+Инвестиции!DN14+Инвестиции!DN43+Инвестиции!DN44+Инвестиции!DN45+Инвестиции!DN48+Инвестиции!DN49+Инвестиции!DN50+Инвестиции!DN51+Инвестиции!DN52+Инвестиции!DN53+Инвестиции!DN54+Инвестиции!DN55+Инвестиции!DN56+Инвестиции!DN57+Инвестиции!DN58+Инвестиции!DN59+Инвестиции!DN60+Инвестиции!DN61+Инвестиции!DN62+Инвестиции!DN63+Инвестиции!DN64+Инвестиции!DN65+Инвестиции!DN66+Инвестиции!DN67</f>
        <v>0</v>
      </c>
      <c r="DL20" s="136">
        <f>Инвестиции!DO11+Инвестиции!DO12+Инвестиции!DO13+Инвестиции!DO14+Инвестиции!DO43+Инвестиции!DO44+Инвестиции!DO45+Инвестиции!DO48+Инвестиции!DO49+Инвестиции!DO50+Инвестиции!DO51+Инвестиции!DO52+Инвестиции!DO53+Инвестиции!DO54+Инвестиции!DO55+Инвестиции!DO56+Инвестиции!DO57+Инвестиции!DO58+Инвестиции!DO59+Инвестиции!DO60+Инвестиции!DO61+Инвестиции!DO62+Инвестиции!DO63+Инвестиции!DO64+Инвестиции!DO65+Инвестиции!DO66+Инвестиции!DO67</f>
        <v>0</v>
      </c>
      <c r="DM20" s="136">
        <f>Инвестиции!DP11+Инвестиции!DP12+Инвестиции!DP13+Инвестиции!DP14+Инвестиции!DP43+Инвестиции!DP44+Инвестиции!DP45+Инвестиции!DP48+Инвестиции!DP49+Инвестиции!DP50+Инвестиции!DP51+Инвестиции!DP52+Инвестиции!DP53+Инвестиции!DP54+Инвестиции!DP55+Инвестиции!DP56+Инвестиции!DP57+Инвестиции!DP58+Инвестиции!DP59+Инвестиции!DP60+Инвестиции!DP61+Инвестиции!DP62+Инвестиции!DP63+Инвестиции!DP64+Инвестиции!DP65+Инвестиции!DP66+Инвестиции!DP67</f>
        <v>0</v>
      </c>
      <c r="DN20" s="136">
        <f>Инвестиции!DQ11+Инвестиции!DQ12+Инвестиции!DQ13+Инвестиции!DQ14+Инвестиции!DQ43+Инвестиции!DQ44+Инвестиции!DQ45+Инвестиции!DQ48+Инвестиции!DQ49+Инвестиции!DQ50+Инвестиции!DQ51+Инвестиции!DQ52+Инвестиции!DQ53+Инвестиции!DQ54+Инвестиции!DQ55+Инвестиции!DQ56+Инвестиции!DQ57+Инвестиции!DQ58+Инвестиции!DQ59+Инвестиции!DQ60+Инвестиции!DQ61+Инвестиции!DQ62+Инвестиции!DQ63+Инвестиции!DQ64+Инвестиции!DQ65+Инвестиции!DQ66+Инвестиции!DQ67</f>
        <v>0</v>
      </c>
      <c r="DO20" s="136">
        <f>Инвестиции!DR11+Инвестиции!DR12+Инвестиции!DR13+Инвестиции!DR14+Инвестиции!DR43+Инвестиции!DR44+Инвестиции!DR45+Инвестиции!DR48+Инвестиции!DR49+Инвестиции!DR50+Инвестиции!DR51+Инвестиции!DR52+Инвестиции!DR53+Инвестиции!DR54+Инвестиции!DR55+Инвестиции!DR56+Инвестиции!DR57+Инвестиции!DR58+Инвестиции!DR59+Инвестиции!DR60+Инвестиции!DR61+Инвестиции!DR62+Инвестиции!DR63+Инвестиции!DR64+Инвестиции!DR65+Инвестиции!DR66+Инвестиции!DR67</f>
        <v>0</v>
      </c>
      <c r="DP20" s="136">
        <f>Инвестиции!DS11+Инвестиции!DS12+Инвестиции!DS13+Инвестиции!DS14+Инвестиции!DS43+Инвестиции!DS44+Инвестиции!DS45+Инвестиции!DS48+Инвестиции!DS49+Инвестиции!DS50+Инвестиции!DS51+Инвестиции!DS52+Инвестиции!DS53+Инвестиции!DS54+Инвестиции!DS55+Инвестиции!DS56+Инвестиции!DS57+Инвестиции!DS58+Инвестиции!DS59+Инвестиции!DS60+Инвестиции!DS61+Инвестиции!DS62+Инвестиции!DS63+Инвестиции!DS64+Инвестиции!DS65+Инвестиции!DS66+Инвестиции!DS67</f>
        <v>0</v>
      </c>
      <c r="DQ20" s="136">
        <f>Инвестиции!DT11+Инвестиции!DT12+Инвестиции!DT13+Инвестиции!DT14+Инвестиции!DT43+Инвестиции!DT44+Инвестиции!DT45+Инвестиции!DT48+Инвестиции!DT49+Инвестиции!DT50+Инвестиции!DT51+Инвестиции!DT52+Инвестиции!DT53+Инвестиции!DT54+Инвестиции!DT55+Инвестиции!DT56+Инвестиции!DT57+Инвестиции!DT58+Инвестиции!DT59+Инвестиции!DT60+Инвестиции!DT61+Инвестиции!DT62+Инвестиции!DT63+Инвестиции!DT64+Инвестиции!DT65+Инвестиции!DT66+Инвестиции!DT67</f>
        <v>0</v>
      </c>
      <c r="DR20" s="136">
        <f>Инвестиции!DU11+Инвестиции!DU12+Инвестиции!DU13+Инвестиции!DU14+Инвестиции!DU43+Инвестиции!DU44+Инвестиции!DU45+Инвестиции!DU48+Инвестиции!DU49+Инвестиции!DU50+Инвестиции!DU51+Инвестиции!DU52+Инвестиции!DU53+Инвестиции!DU54+Инвестиции!DU55+Инвестиции!DU56+Инвестиции!DU57+Инвестиции!DU58+Инвестиции!DU59+Инвестиции!DU60+Инвестиции!DU61+Инвестиции!DU62+Инвестиции!DU63+Инвестиции!DU64+Инвестиции!DU65+Инвестиции!DU66+Инвестиции!DU67</f>
        <v>0</v>
      </c>
      <c r="DS20" s="136">
        <f>Инвестиции!DV11+Инвестиции!DV12+Инвестиции!DV13+Инвестиции!DV14+Инвестиции!DV43+Инвестиции!DV44+Инвестиции!DV45+Инвестиции!DV48+Инвестиции!DV49+Инвестиции!DV50+Инвестиции!DV51+Инвестиции!DV52+Инвестиции!DV53+Инвестиции!DV54+Инвестиции!DV55+Инвестиции!DV56+Инвестиции!DV57+Инвестиции!DV58+Инвестиции!DV59+Инвестиции!DV60+Инвестиции!DV61+Инвестиции!DV62+Инвестиции!DV63+Инвестиции!DV64+Инвестиции!DV65+Инвестиции!DV66+Инвестиции!DV67</f>
        <v>0</v>
      </c>
      <c r="DT20" s="136">
        <f>Инвестиции!DW11+Инвестиции!DW12+Инвестиции!DW13+Инвестиции!DW14+Инвестиции!DW43+Инвестиции!DW44+Инвестиции!DW45+Инвестиции!DW48+Инвестиции!DW49+Инвестиции!DW50+Инвестиции!DW51+Инвестиции!DW52+Инвестиции!DW53+Инвестиции!DW54+Инвестиции!DW55+Инвестиции!DW56+Инвестиции!DW57+Инвестиции!DW58+Инвестиции!DW59+Инвестиции!DW60+Инвестиции!DW61+Инвестиции!DW62+Инвестиции!DW63+Инвестиции!DW64+Инвестиции!DW65+Инвестиции!DW66+Инвестиции!DW67</f>
        <v>0</v>
      </c>
      <c r="DU20" s="136">
        <f>Инвестиции!DX11+Инвестиции!DX12+Инвестиции!DX13+Инвестиции!DX14+Инвестиции!DX43+Инвестиции!DX44+Инвестиции!DX45+Инвестиции!DX48+Инвестиции!DX49+Инвестиции!DX50+Инвестиции!DX51+Инвестиции!DX52+Инвестиции!DX53+Инвестиции!DX54+Инвестиции!DX55+Инвестиции!DX56+Инвестиции!DX57+Инвестиции!DX58+Инвестиции!DX59+Инвестиции!DX60+Инвестиции!DX61+Инвестиции!DX62+Инвестиции!DX63+Инвестиции!DX64+Инвестиции!DX65+Инвестиции!DX66+Инвестиции!DX67</f>
        <v>0</v>
      </c>
      <c r="DV20" s="136">
        <f>Инвестиции!DY11+Инвестиции!DY12+Инвестиции!DY13+Инвестиции!DY14+Инвестиции!DY43+Инвестиции!DY44+Инвестиции!DY45+Инвестиции!DY48+Инвестиции!DY49+Инвестиции!DY50+Инвестиции!DY51+Инвестиции!DY52+Инвестиции!DY53+Инвестиции!DY54+Инвестиции!DY55+Инвестиции!DY56+Инвестиции!DY57+Инвестиции!DY58+Инвестиции!DY59+Инвестиции!DY60+Инвестиции!DY61+Инвестиции!DY62+Инвестиции!DY63+Инвестиции!DY64+Инвестиции!DY65+Инвестиции!DY66+Инвестиции!DY67</f>
        <v>0</v>
      </c>
      <c r="DW20" s="136">
        <f>Инвестиции!DZ11+Инвестиции!DZ12+Инвестиции!DZ13+Инвестиции!DZ14+Инвестиции!DZ43+Инвестиции!DZ44+Инвестиции!DZ45+Инвестиции!DZ48+Инвестиции!DZ49+Инвестиции!DZ50+Инвестиции!DZ51+Инвестиции!DZ52+Инвестиции!DZ53+Инвестиции!DZ54+Инвестиции!DZ55+Инвестиции!DZ56+Инвестиции!DZ57+Инвестиции!DZ58+Инвестиции!DZ59+Инвестиции!DZ60+Инвестиции!DZ61+Инвестиции!DZ62+Инвестиции!DZ63+Инвестиции!DZ64+Инвестиции!DZ65+Инвестиции!DZ66+Инвестиции!DZ67</f>
        <v>0</v>
      </c>
      <c r="DX20" s="136">
        <f>Инвестиции!EA11+Инвестиции!EA12+Инвестиции!EA13+Инвестиции!EA14+Инвестиции!EA43+Инвестиции!EA44+Инвестиции!EA45+Инвестиции!EA48+Инвестиции!EA49+Инвестиции!EA50+Инвестиции!EA51+Инвестиции!EA52+Инвестиции!EA53+Инвестиции!EA54+Инвестиции!EA55+Инвестиции!EA56+Инвестиции!EA57+Инвестиции!EA58+Инвестиции!EA59+Инвестиции!EA60+Инвестиции!EA61+Инвестиции!EA62+Инвестиции!EA63+Инвестиции!EA64+Инвестиции!EA65+Инвестиции!EA66+Инвестиции!EA67</f>
        <v>0</v>
      </c>
      <c r="DY20" s="136">
        <f>Инвестиции!EB11+Инвестиции!EB12+Инвестиции!EB13+Инвестиции!EB14+Инвестиции!EB43+Инвестиции!EB44+Инвестиции!EB45+Инвестиции!EB48+Инвестиции!EB49+Инвестиции!EB50+Инвестиции!EB51+Инвестиции!EB52+Инвестиции!EB53+Инвестиции!EB54+Инвестиции!EB55+Инвестиции!EB56+Инвестиции!EB57+Инвестиции!EB58+Инвестиции!EB59+Инвестиции!EB60+Инвестиции!EB61+Инвестиции!EB62+Инвестиции!EB63+Инвестиции!EB64+Инвестиции!EB65+Инвестиции!EB66+Инвестиции!EB67</f>
        <v>0</v>
      </c>
      <c r="DZ20" s="136">
        <f>Инвестиции!EC11+Инвестиции!EC12+Инвестиции!EC13+Инвестиции!EC14+Инвестиции!EC43+Инвестиции!EC44+Инвестиции!EC45+Инвестиции!EC48+Инвестиции!EC49+Инвестиции!EC50+Инвестиции!EC51+Инвестиции!EC52+Инвестиции!EC53+Инвестиции!EC54+Инвестиции!EC55+Инвестиции!EC56+Инвестиции!EC57+Инвестиции!EC58+Инвестиции!EC59+Инвестиции!EC60+Инвестиции!EC61+Инвестиции!EC62+Инвестиции!EC63+Инвестиции!EC64+Инвестиции!EC65+Инвестиции!EC66+Инвестиции!EC67</f>
        <v>0</v>
      </c>
      <c r="EA20" s="136">
        <f>Инвестиции!ED11+Инвестиции!ED12+Инвестиции!ED13+Инвестиции!ED14+Инвестиции!ED43+Инвестиции!ED44+Инвестиции!ED45+Инвестиции!ED48+Инвестиции!ED49+Инвестиции!ED50+Инвестиции!ED51+Инвестиции!ED52+Инвестиции!ED53+Инвестиции!ED54+Инвестиции!ED55+Инвестиции!ED56+Инвестиции!ED57+Инвестиции!ED58+Инвестиции!ED59+Инвестиции!ED60+Инвестиции!ED61+Инвестиции!ED62+Инвестиции!ED63+Инвестиции!ED64+Инвестиции!ED65+Инвестиции!ED66+Инвестиции!ED67</f>
        <v>0</v>
      </c>
      <c r="EB20" s="136">
        <f>Инвестиции!EE11+Инвестиции!EE12+Инвестиции!EE13+Инвестиции!EE14+Инвестиции!EE43+Инвестиции!EE44+Инвестиции!EE45+Инвестиции!EE48+Инвестиции!EE49+Инвестиции!EE50+Инвестиции!EE51+Инвестиции!EE52+Инвестиции!EE53+Инвестиции!EE54+Инвестиции!EE55+Инвестиции!EE56+Инвестиции!EE57+Инвестиции!EE58+Инвестиции!EE59+Инвестиции!EE60+Инвестиции!EE61+Инвестиции!EE62+Инвестиции!EE63+Инвестиции!EE64+Инвестиции!EE65+Инвестиции!EE66+Инвестиции!EE67</f>
        <v>0</v>
      </c>
      <c r="EC20" s="136">
        <f>Инвестиции!EF11+Инвестиции!EF12+Инвестиции!EF13+Инвестиции!EF14+Инвестиции!EF43+Инвестиции!EF44+Инвестиции!EF45+Инвестиции!EF48+Инвестиции!EF49+Инвестиции!EF50+Инвестиции!EF51+Инвестиции!EF52+Инвестиции!EF53+Инвестиции!EF54+Инвестиции!EF55+Инвестиции!EF56+Инвестиции!EF57+Инвестиции!EF58+Инвестиции!EF59+Инвестиции!EF60+Инвестиции!EF61+Инвестиции!EF62+Инвестиции!EF63+Инвестиции!EF64+Инвестиции!EF65+Инвестиции!EF66+Инвестиции!EF67</f>
        <v>0</v>
      </c>
      <c r="ED20" s="136">
        <f>Инвестиции!EG11+Инвестиции!EG12+Инвестиции!EG13+Инвестиции!EG14+Инвестиции!EG43+Инвестиции!EG44+Инвестиции!EG45+Инвестиции!EG48+Инвестиции!EG49+Инвестиции!EG50+Инвестиции!EG51+Инвестиции!EG52+Инвестиции!EG53+Инвестиции!EG54+Инвестиции!EG55+Инвестиции!EG56+Инвестиции!EG57+Инвестиции!EG58+Инвестиции!EG59+Инвестиции!EG60+Инвестиции!EG61+Инвестиции!EG62+Инвестиции!EG63+Инвестиции!EG64+Инвестиции!EG65+Инвестиции!EG66+Инвестиции!EG67</f>
        <v>0</v>
      </c>
    </row>
    <row r="21" spans="2:134" s="60" customFormat="1" ht="12.6" customHeight="1">
      <c r="B21" s="136" t="s">
        <v>447</v>
      </c>
      <c r="C21" s="136">
        <f>Инвестиции!F37</f>
        <v>0</v>
      </c>
      <c r="D21" s="136">
        <f>Инвестиции!G37</f>
        <v>0</v>
      </c>
      <c r="E21" s="136">
        <f>Инвестиции!H37</f>
        <v>0</v>
      </c>
      <c r="F21" s="136">
        <f>Инвестиции!I37</f>
        <v>0</v>
      </c>
      <c r="G21" s="136">
        <f>Инвестиции!J37</f>
        <v>0</v>
      </c>
      <c r="H21" s="136">
        <f>Инвестиции!K37</f>
        <v>0</v>
      </c>
      <c r="I21" s="136">
        <f>Инвестиции!L37</f>
        <v>0</v>
      </c>
      <c r="J21" s="136">
        <f>Инвестиции!M37</f>
        <v>0</v>
      </c>
      <c r="K21" s="136">
        <f>Инвестиции!N37</f>
        <v>0</v>
      </c>
      <c r="L21" s="136">
        <f>Инвестиции!O37</f>
        <v>0</v>
      </c>
      <c r="M21" s="136">
        <f>Инвестиции!P37</f>
        <v>0</v>
      </c>
      <c r="N21" s="136">
        <f>Инвестиции!Q37</f>
        <v>0</v>
      </c>
      <c r="O21" s="136">
        <f>Инвестиции!R37</f>
        <v>0</v>
      </c>
      <c r="P21" s="136">
        <f>Инвестиции!S37</f>
        <v>0</v>
      </c>
      <c r="Q21" s="136">
        <f>Инвестиции!T37</f>
        <v>0</v>
      </c>
      <c r="R21" s="136">
        <f>Инвестиции!U37</f>
        <v>0</v>
      </c>
      <c r="S21" s="136">
        <f>Инвестиции!V37</f>
        <v>0</v>
      </c>
      <c r="T21" s="136">
        <f>Инвестиции!W37</f>
        <v>0</v>
      </c>
      <c r="U21" s="136">
        <f>Инвестиции!X37</f>
        <v>0</v>
      </c>
      <c r="V21" s="136">
        <f>Инвестиции!Y37</f>
        <v>0</v>
      </c>
      <c r="W21" s="136">
        <f>Инвестиции!Z37</f>
        <v>0</v>
      </c>
      <c r="X21" s="136">
        <f>Инвестиции!AA37</f>
        <v>0</v>
      </c>
      <c r="Y21" s="136">
        <f>Инвестиции!AB37</f>
        <v>0</v>
      </c>
      <c r="Z21" s="136">
        <f>Инвестиции!AC37</f>
        <v>0</v>
      </c>
      <c r="AA21" s="136">
        <f>Инвестиции!AD37</f>
        <v>0</v>
      </c>
      <c r="AB21" s="136">
        <f>Инвестиции!AE37</f>
        <v>0</v>
      </c>
      <c r="AC21" s="136">
        <f>Инвестиции!AF37</f>
        <v>0</v>
      </c>
      <c r="AD21" s="136">
        <f>Инвестиции!AG37</f>
        <v>0</v>
      </c>
      <c r="AE21" s="136">
        <f>Инвестиции!AH37</f>
        <v>0</v>
      </c>
      <c r="AF21" s="136">
        <f>Инвестиции!AI37</f>
        <v>9127.7470533333399</v>
      </c>
      <c r="AG21" s="136">
        <f>Инвестиции!AJ37</f>
        <v>9127.7470533333399</v>
      </c>
      <c r="AH21" s="136">
        <f>Инвестиции!AK37</f>
        <v>9127.7470533333399</v>
      </c>
      <c r="AI21" s="136">
        <f>Инвестиции!AL37</f>
        <v>9127.7470533333399</v>
      </c>
      <c r="AJ21" s="136">
        <f>Инвестиции!AM37</f>
        <v>9127.7470533333399</v>
      </c>
      <c r="AK21" s="136">
        <f>Инвестиции!AN37</f>
        <v>0</v>
      </c>
      <c r="AL21" s="136">
        <f>Инвестиции!AO37</f>
        <v>0</v>
      </c>
      <c r="AM21" s="136">
        <f>Инвестиции!AP37</f>
        <v>0</v>
      </c>
      <c r="AN21" s="136">
        <f>Инвестиции!AQ37</f>
        <v>0</v>
      </c>
      <c r="AO21" s="136">
        <f>Инвестиции!AR37</f>
        <v>0</v>
      </c>
      <c r="AP21" s="136">
        <f>Инвестиции!AS37</f>
        <v>0</v>
      </c>
      <c r="AQ21" s="136">
        <f>Инвестиции!AT37</f>
        <v>0</v>
      </c>
      <c r="AR21" s="136">
        <f>Инвестиции!AU37</f>
        <v>0</v>
      </c>
      <c r="AS21" s="136">
        <f>Инвестиции!AV37</f>
        <v>0</v>
      </c>
      <c r="AT21" s="136">
        <f>Инвестиции!AW37</f>
        <v>0</v>
      </c>
      <c r="AU21" s="136">
        <f>Инвестиции!AX37</f>
        <v>0</v>
      </c>
      <c r="AV21" s="136">
        <f>Инвестиции!AY37</f>
        <v>0</v>
      </c>
      <c r="AW21" s="136">
        <f>Инвестиции!AZ37</f>
        <v>0</v>
      </c>
      <c r="AX21" s="136">
        <f>Инвестиции!BA37</f>
        <v>0</v>
      </c>
      <c r="AY21" s="136">
        <f>Инвестиции!BB37</f>
        <v>0</v>
      </c>
      <c r="AZ21" s="136">
        <f>Инвестиции!BC37</f>
        <v>0</v>
      </c>
      <c r="BA21" s="136">
        <f>Инвестиции!BD37</f>
        <v>0</v>
      </c>
      <c r="BB21" s="136">
        <f>Инвестиции!BE37</f>
        <v>0</v>
      </c>
      <c r="BC21" s="136">
        <f>Инвестиции!BF37</f>
        <v>0</v>
      </c>
      <c r="BD21" s="136">
        <f>Инвестиции!BG37</f>
        <v>0</v>
      </c>
      <c r="BE21" s="136">
        <f>Инвестиции!BH37</f>
        <v>0</v>
      </c>
      <c r="BF21" s="136">
        <f>Инвестиции!BI37</f>
        <v>0</v>
      </c>
      <c r="BG21" s="136">
        <f>Инвестиции!BJ37</f>
        <v>0</v>
      </c>
      <c r="BH21" s="136">
        <f>Инвестиции!BK37</f>
        <v>0</v>
      </c>
      <c r="BI21" s="136">
        <f>Инвестиции!BL37</f>
        <v>0</v>
      </c>
      <c r="BJ21" s="136">
        <f>Инвестиции!BM37</f>
        <v>0</v>
      </c>
      <c r="BK21" s="136">
        <f>Инвестиции!BN37</f>
        <v>0</v>
      </c>
      <c r="BL21" s="136">
        <f>Инвестиции!BO37</f>
        <v>0</v>
      </c>
      <c r="BM21" s="136">
        <f>Инвестиции!BP37</f>
        <v>0</v>
      </c>
      <c r="BN21" s="136">
        <f>Инвестиции!BQ37</f>
        <v>0</v>
      </c>
      <c r="BO21" s="136">
        <f>Инвестиции!BR37</f>
        <v>0</v>
      </c>
      <c r="BP21" s="136">
        <f>Инвестиции!BS37</f>
        <v>0</v>
      </c>
      <c r="BQ21" s="136">
        <f>Инвестиции!BT37</f>
        <v>0</v>
      </c>
      <c r="BR21" s="136">
        <f>Инвестиции!BU37</f>
        <v>0</v>
      </c>
      <c r="BS21" s="136">
        <f>Инвестиции!BV37</f>
        <v>0</v>
      </c>
      <c r="BT21" s="136">
        <f>Инвестиции!BW37</f>
        <v>0</v>
      </c>
      <c r="BU21" s="136">
        <f>Инвестиции!BX37</f>
        <v>0</v>
      </c>
      <c r="BV21" s="136">
        <f>Инвестиции!BY37</f>
        <v>0</v>
      </c>
      <c r="BW21" s="136">
        <f>Инвестиции!BZ37</f>
        <v>0</v>
      </c>
      <c r="BX21" s="136">
        <f>Инвестиции!CA37</f>
        <v>0</v>
      </c>
      <c r="BY21" s="136">
        <f>Инвестиции!CB37</f>
        <v>0</v>
      </c>
      <c r="BZ21" s="136">
        <f>Инвестиции!CC37</f>
        <v>0</v>
      </c>
      <c r="CA21" s="136">
        <f>Инвестиции!CD37</f>
        <v>0</v>
      </c>
      <c r="CB21" s="136">
        <f>Инвестиции!CE37</f>
        <v>0</v>
      </c>
      <c r="CC21" s="136">
        <f>Инвестиции!CF37</f>
        <v>0</v>
      </c>
      <c r="CD21" s="136">
        <f>Инвестиции!CG37</f>
        <v>0</v>
      </c>
      <c r="CE21" s="136">
        <f>Инвестиции!CH37</f>
        <v>0</v>
      </c>
      <c r="CF21" s="136">
        <f>Инвестиции!CI37</f>
        <v>0</v>
      </c>
      <c r="CG21" s="136">
        <f>Инвестиции!CJ37</f>
        <v>0</v>
      </c>
      <c r="CH21" s="136">
        <f>Инвестиции!CK37</f>
        <v>0</v>
      </c>
      <c r="CI21" s="136">
        <f>Инвестиции!CL37</f>
        <v>0</v>
      </c>
      <c r="CJ21" s="136">
        <f>Инвестиции!CM37</f>
        <v>0</v>
      </c>
      <c r="CK21" s="136">
        <f>Инвестиции!CN37</f>
        <v>0</v>
      </c>
      <c r="CL21" s="136">
        <f>Инвестиции!CO37</f>
        <v>0</v>
      </c>
      <c r="CM21" s="136">
        <f>Инвестиции!CP37</f>
        <v>0</v>
      </c>
      <c r="CN21" s="136">
        <f>Инвестиции!CQ37</f>
        <v>0</v>
      </c>
      <c r="CO21" s="136">
        <f>Инвестиции!CR37</f>
        <v>0</v>
      </c>
      <c r="CP21" s="136">
        <f>Инвестиции!CS37</f>
        <v>0</v>
      </c>
      <c r="CQ21" s="136">
        <f>Инвестиции!CT37</f>
        <v>0</v>
      </c>
      <c r="CR21" s="136">
        <f>Инвестиции!CU37</f>
        <v>0</v>
      </c>
      <c r="CS21" s="136">
        <f>Инвестиции!CV37</f>
        <v>0</v>
      </c>
      <c r="CT21" s="136">
        <f>Инвестиции!CW37</f>
        <v>0</v>
      </c>
      <c r="CU21" s="136">
        <f>Инвестиции!CX37</f>
        <v>0</v>
      </c>
      <c r="CV21" s="136">
        <f>Инвестиции!CY37</f>
        <v>0</v>
      </c>
      <c r="CW21" s="136">
        <f>Инвестиции!CZ37</f>
        <v>0</v>
      </c>
      <c r="CX21" s="136">
        <f>Инвестиции!DA37</f>
        <v>0</v>
      </c>
      <c r="CY21" s="136">
        <f>Инвестиции!DB37</f>
        <v>0</v>
      </c>
      <c r="CZ21" s="136">
        <f>Инвестиции!DC37</f>
        <v>0</v>
      </c>
      <c r="DA21" s="136">
        <f>Инвестиции!DD37</f>
        <v>0</v>
      </c>
      <c r="DB21" s="136">
        <f>Инвестиции!DE37</f>
        <v>0</v>
      </c>
      <c r="DC21" s="136">
        <f>Инвестиции!DF37</f>
        <v>0</v>
      </c>
      <c r="DD21" s="136">
        <f>Инвестиции!DG37</f>
        <v>0</v>
      </c>
      <c r="DE21" s="136">
        <f>Инвестиции!DH37</f>
        <v>0</v>
      </c>
      <c r="DF21" s="136">
        <f>Инвестиции!DI37</f>
        <v>0</v>
      </c>
      <c r="DG21" s="136">
        <f>Инвестиции!DJ37</f>
        <v>0</v>
      </c>
      <c r="DH21" s="136">
        <f>Инвестиции!DK37</f>
        <v>0</v>
      </c>
      <c r="DI21" s="136">
        <f>Инвестиции!DL37</f>
        <v>0</v>
      </c>
      <c r="DJ21" s="136">
        <f>Инвестиции!DM37</f>
        <v>0</v>
      </c>
      <c r="DK21" s="136">
        <f>Инвестиции!DN37</f>
        <v>0</v>
      </c>
      <c r="DL21" s="136">
        <f>Инвестиции!DO37</f>
        <v>0</v>
      </c>
      <c r="DM21" s="136">
        <f>Инвестиции!DP37</f>
        <v>0</v>
      </c>
      <c r="DN21" s="136">
        <f>Инвестиции!DQ37</f>
        <v>0</v>
      </c>
      <c r="DO21" s="136">
        <f>Инвестиции!DR37</f>
        <v>0</v>
      </c>
      <c r="DP21" s="136">
        <f>Инвестиции!DS37</f>
        <v>0</v>
      </c>
      <c r="DQ21" s="136">
        <f>Инвестиции!DT37</f>
        <v>0</v>
      </c>
      <c r="DR21" s="136">
        <f>Инвестиции!DU37</f>
        <v>0</v>
      </c>
      <c r="DS21" s="136">
        <f>Инвестиции!DV37</f>
        <v>0</v>
      </c>
      <c r="DT21" s="136">
        <f>Инвестиции!DW37</f>
        <v>0</v>
      </c>
      <c r="DU21" s="136">
        <f>Инвестиции!DX37</f>
        <v>0</v>
      </c>
      <c r="DV21" s="136">
        <f>Инвестиции!DY37</f>
        <v>0</v>
      </c>
      <c r="DW21" s="136">
        <f>Инвестиции!DZ37</f>
        <v>0</v>
      </c>
      <c r="DX21" s="136">
        <f>Инвестиции!EA37</f>
        <v>0</v>
      </c>
      <c r="DY21" s="136">
        <f>Инвестиции!EB37</f>
        <v>0</v>
      </c>
      <c r="DZ21" s="136">
        <f>Инвестиции!EC37</f>
        <v>0</v>
      </c>
      <c r="EA21" s="136">
        <f>Инвестиции!ED37</f>
        <v>0</v>
      </c>
      <c r="EB21" s="136">
        <f>Инвестиции!EE37</f>
        <v>0</v>
      </c>
      <c r="EC21" s="136">
        <f>Инвестиции!EF37</f>
        <v>0</v>
      </c>
      <c r="ED21" s="136">
        <f>Инвестиции!EG37</f>
        <v>0</v>
      </c>
    </row>
    <row r="22" spans="2:134" s="60" customFormat="1" ht="12.6" customHeight="1">
      <c r="B22" s="136" t="s">
        <v>448</v>
      </c>
      <c r="C22" s="136">
        <f>Инвестиции!F38</f>
        <v>0</v>
      </c>
      <c r="D22" s="136">
        <f>Инвестиции!G38</f>
        <v>0</v>
      </c>
      <c r="E22" s="136">
        <f>Инвестиции!H38</f>
        <v>0</v>
      </c>
      <c r="F22" s="136">
        <f>Инвестиции!I38</f>
        <v>0</v>
      </c>
      <c r="G22" s="136">
        <f>Инвестиции!J38</f>
        <v>0</v>
      </c>
      <c r="H22" s="136">
        <f>Инвестиции!K38</f>
        <v>0</v>
      </c>
      <c r="I22" s="136">
        <f>Инвестиции!L38</f>
        <v>0</v>
      </c>
      <c r="J22" s="136">
        <f>Инвестиции!M38</f>
        <v>0</v>
      </c>
      <c r="K22" s="136">
        <f>Инвестиции!N38</f>
        <v>0</v>
      </c>
      <c r="L22" s="136">
        <f>Инвестиции!O38</f>
        <v>0</v>
      </c>
      <c r="M22" s="136">
        <f>Инвестиции!P38</f>
        <v>0</v>
      </c>
      <c r="N22" s="136">
        <f>Инвестиции!Q38</f>
        <v>0</v>
      </c>
      <c r="O22" s="136">
        <f>Инвестиции!R38</f>
        <v>0</v>
      </c>
      <c r="P22" s="136">
        <f>Инвестиции!S38</f>
        <v>0</v>
      </c>
      <c r="Q22" s="136">
        <f>Инвестиции!T38</f>
        <v>0</v>
      </c>
      <c r="R22" s="136">
        <f>Инвестиции!U38</f>
        <v>0</v>
      </c>
      <c r="S22" s="136">
        <f>Инвестиции!V38</f>
        <v>0</v>
      </c>
      <c r="T22" s="136">
        <f>Инвестиции!W38</f>
        <v>0</v>
      </c>
      <c r="U22" s="136">
        <f>Инвестиции!X38</f>
        <v>0</v>
      </c>
      <c r="V22" s="136">
        <f>Инвестиции!Y38</f>
        <v>0</v>
      </c>
      <c r="W22" s="136">
        <f>Инвестиции!Z38</f>
        <v>0</v>
      </c>
      <c r="X22" s="136">
        <f>Инвестиции!AA38</f>
        <v>0</v>
      </c>
      <c r="Y22" s="136">
        <f>Инвестиции!AB38</f>
        <v>0</v>
      </c>
      <c r="Z22" s="136">
        <f>Инвестиции!AC38</f>
        <v>0</v>
      </c>
      <c r="AA22" s="136">
        <f>Инвестиции!AD38</f>
        <v>0</v>
      </c>
      <c r="AB22" s="136">
        <f>Инвестиции!AE38</f>
        <v>0</v>
      </c>
      <c r="AC22" s="136">
        <f>Инвестиции!AF38</f>
        <v>0</v>
      </c>
      <c r="AD22" s="136">
        <f>Инвестиции!AG38</f>
        <v>0</v>
      </c>
      <c r="AE22" s="136">
        <f>Инвестиции!AH38</f>
        <v>0</v>
      </c>
      <c r="AF22" s="136">
        <f>Инвестиции!AI38</f>
        <v>0</v>
      </c>
      <c r="AG22" s="136">
        <f>Инвестиции!AJ38</f>
        <v>0</v>
      </c>
      <c r="AH22" s="136">
        <f>Инвестиции!AK38</f>
        <v>0</v>
      </c>
      <c r="AI22" s="136">
        <f>Инвестиции!AL38</f>
        <v>0</v>
      </c>
      <c r="AJ22" s="136">
        <f>Инвестиции!AM38</f>
        <v>0</v>
      </c>
      <c r="AK22" s="136">
        <f>Инвестиции!AN38</f>
        <v>0</v>
      </c>
      <c r="AL22" s="136">
        <f>Инвестиции!AO38</f>
        <v>0</v>
      </c>
      <c r="AM22" s="136">
        <f>Инвестиции!AP38</f>
        <v>0</v>
      </c>
      <c r="AN22" s="136">
        <f>Инвестиции!AQ38</f>
        <v>0</v>
      </c>
      <c r="AO22" s="136">
        <f>Инвестиции!AR38</f>
        <v>0</v>
      </c>
      <c r="AP22" s="136">
        <f>Инвестиции!AS38</f>
        <v>0</v>
      </c>
      <c r="AQ22" s="136">
        <f>Инвестиции!AT38</f>
        <v>0</v>
      </c>
      <c r="AR22" s="136">
        <f>Инвестиции!AU38</f>
        <v>10040.521758666659</v>
      </c>
      <c r="AS22" s="136">
        <f>Инвестиции!AV38</f>
        <v>10040.521758666659</v>
      </c>
      <c r="AT22" s="136">
        <f>Инвестиции!AW38</f>
        <v>10040.521758666659</v>
      </c>
      <c r="AU22" s="136">
        <f>Инвестиции!AX38</f>
        <v>10040.521758666659</v>
      </c>
      <c r="AV22" s="136">
        <f>Инвестиции!AY38</f>
        <v>10040.521758666659</v>
      </c>
      <c r="AW22" s="136">
        <f>Инвестиции!AZ38</f>
        <v>0</v>
      </c>
      <c r="AX22" s="136">
        <f>Инвестиции!BA38</f>
        <v>0</v>
      </c>
      <c r="AY22" s="136">
        <f>Инвестиции!BB38</f>
        <v>0</v>
      </c>
      <c r="AZ22" s="136">
        <f>Инвестиции!BC38</f>
        <v>0</v>
      </c>
      <c r="BA22" s="136">
        <f>Инвестиции!BD38</f>
        <v>0</v>
      </c>
      <c r="BB22" s="136">
        <f>Инвестиции!BE38</f>
        <v>0</v>
      </c>
      <c r="BC22" s="136">
        <f>Инвестиции!BF38</f>
        <v>0</v>
      </c>
      <c r="BD22" s="136">
        <f>Инвестиции!BG38</f>
        <v>0</v>
      </c>
      <c r="BE22" s="136">
        <f>Инвестиции!BH38</f>
        <v>0</v>
      </c>
      <c r="BF22" s="136">
        <f>Инвестиции!BI38</f>
        <v>0</v>
      </c>
      <c r="BG22" s="136">
        <f>Инвестиции!BJ38</f>
        <v>0</v>
      </c>
      <c r="BH22" s="136">
        <f>Инвестиции!BK38</f>
        <v>0</v>
      </c>
      <c r="BI22" s="136">
        <f>Инвестиции!BL38</f>
        <v>0</v>
      </c>
      <c r="BJ22" s="136">
        <f>Инвестиции!BM38</f>
        <v>0</v>
      </c>
      <c r="BK22" s="136">
        <f>Инвестиции!BN38</f>
        <v>0</v>
      </c>
      <c r="BL22" s="136">
        <f>Инвестиции!BO38</f>
        <v>0</v>
      </c>
      <c r="BM22" s="136">
        <f>Инвестиции!BP38</f>
        <v>0</v>
      </c>
      <c r="BN22" s="136">
        <f>Инвестиции!BQ38</f>
        <v>0</v>
      </c>
      <c r="BO22" s="136">
        <f>Инвестиции!BR38</f>
        <v>0</v>
      </c>
      <c r="BP22" s="136">
        <f>Инвестиции!BS38</f>
        <v>0</v>
      </c>
      <c r="BQ22" s="136">
        <f>Инвестиции!BT38</f>
        <v>0</v>
      </c>
      <c r="BR22" s="136">
        <f>Инвестиции!BU38</f>
        <v>0</v>
      </c>
      <c r="BS22" s="136">
        <f>Инвестиции!BV38</f>
        <v>0</v>
      </c>
      <c r="BT22" s="136">
        <f>Инвестиции!BW38</f>
        <v>0</v>
      </c>
      <c r="BU22" s="136">
        <f>Инвестиции!BX38</f>
        <v>0</v>
      </c>
      <c r="BV22" s="136">
        <f>Инвестиции!BY38</f>
        <v>0</v>
      </c>
      <c r="BW22" s="136">
        <f>Инвестиции!BZ38</f>
        <v>0</v>
      </c>
      <c r="BX22" s="136">
        <f>Инвестиции!CA38</f>
        <v>0</v>
      </c>
      <c r="BY22" s="136">
        <f>Инвестиции!CB38</f>
        <v>0</v>
      </c>
      <c r="BZ22" s="136">
        <f>Инвестиции!CC38</f>
        <v>0</v>
      </c>
      <c r="CA22" s="136">
        <f>Инвестиции!CD38</f>
        <v>0</v>
      </c>
      <c r="CB22" s="136">
        <f>Инвестиции!CE38</f>
        <v>0</v>
      </c>
      <c r="CC22" s="136">
        <f>Инвестиции!CF38</f>
        <v>0</v>
      </c>
      <c r="CD22" s="136">
        <f>Инвестиции!CG38</f>
        <v>0</v>
      </c>
      <c r="CE22" s="136">
        <f>Инвестиции!CH38</f>
        <v>0</v>
      </c>
      <c r="CF22" s="136">
        <f>Инвестиции!CI38</f>
        <v>0</v>
      </c>
      <c r="CG22" s="136">
        <f>Инвестиции!CJ38</f>
        <v>0</v>
      </c>
      <c r="CH22" s="136">
        <f>Инвестиции!CK38</f>
        <v>0</v>
      </c>
      <c r="CI22" s="136">
        <f>Инвестиции!CL38</f>
        <v>0</v>
      </c>
      <c r="CJ22" s="136">
        <f>Инвестиции!CM38</f>
        <v>0</v>
      </c>
      <c r="CK22" s="136">
        <f>Инвестиции!CN38</f>
        <v>0</v>
      </c>
      <c r="CL22" s="136">
        <f>Инвестиции!CO38</f>
        <v>0</v>
      </c>
      <c r="CM22" s="136">
        <f>Инвестиции!CP38</f>
        <v>0</v>
      </c>
      <c r="CN22" s="136">
        <f>Инвестиции!CQ38</f>
        <v>0</v>
      </c>
      <c r="CO22" s="136">
        <f>Инвестиции!CR38</f>
        <v>0</v>
      </c>
      <c r="CP22" s="136">
        <f>Инвестиции!CS38</f>
        <v>0</v>
      </c>
      <c r="CQ22" s="136">
        <f>Инвестиции!CT38</f>
        <v>0</v>
      </c>
      <c r="CR22" s="136">
        <f>Инвестиции!CU38</f>
        <v>0</v>
      </c>
      <c r="CS22" s="136">
        <f>Инвестиции!CV38</f>
        <v>0</v>
      </c>
      <c r="CT22" s="136">
        <f>Инвестиции!CW38</f>
        <v>0</v>
      </c>
      <c r="CU22" s="136">
        <f>Инвестиции!CX38</f>
        <v>0</v>
      </c>
      <c r="CV22" s="136">
        <f>Инвестиции!CY38</f>
        <v>0</v>
      </c>
      <c r="CW22" s="136">
        <f>Инвестиции!CZ38</f>
        <v>0</v>
      </c>
      <c r="CX22" s="136">
        <f>Инвестиции!DA38</f>
        <v>0</v>
      </c>
      <c r="CY22" s="136">
        <f>Инвестиции!DB38</f>
        <v>0</v>
      </c>
      <c r="CZ22" s="136">
        <f>Инвестиции!DC38</f>
        <v>0</v>
      </c>
      <c r="DA22" s="136">
        <f>Инвестиции!DD38</f>
        <v>0</v>
      </c>
      <c r="DB22" s="136">
        <f>Инвестиции!DE38</f>
        <v>0</v>
      </c>
      <c r="DC22" s="136">
        <f>Инвестиции!DF38</f>
        <v>0</v>
      </c>
      <c r="DD22" s="136">
        <f>Инвестиции!DG38</f>
        <v>0</v>
      </c>
      <c r="DE22" s="136">
        <f>Инвестиции!DH38</f>
        <v>0</v>
      </c>
      <c r="DF22" s="136">
        <f>Инвестиции!DI38</f>
        <v>0</v>
      </c>
      <c r="DG22" s="136">
        <f>Инвестиции!DJ38</f>
        <v>0</v>
      </c>
      <c r="DH22" s="136">
        <f>Инвестиции!DK38</f>
        <v>0</v>
      </c>
      <c r="DI22" s="136">
        <f>Инвестиции!DL38</f>
        <v>0</v>
      </c>
      <c r="DJ22" s="136">
        <f>Инвестиции!DM38</f>
        <v>0</v>
      </c>
      <c r="DK22" s="136">
        <f>Инвестиции!DN38</f>
        <v>0</v>
      </c>
      <c r="DL22" s="136">
        <f>Инвестиции!DO38</f>
        <v>0</v>
      </c>
      <c r="DM22" s="136">
        <f>Инвестиции!DP38</f>
        <v>0</v>
      </c>
      <c r="DN22" s="136">
        <f>Инвестиции!DQ38</f>
        <v>0</v>
      </c>
      <c r="DO22" s="136">
        <f>Инвестиции!DR38</f>
        <v>0</v>
      </c>
      <c r="DP22" s="136">
        <f>Инвестиции!DS38</f>
        <v>0</v>
      </c>
      <c r="DQ22" s="136">
        <f>Инвестиции!DT38</f>
        <v>0</v>
      </c>
      <c r="DR22" s="136">
        <f>Инвестиции!DU38</f>
        <v>0</v>
      </c>
      <c r="DS22" s="136">
        <f>Инвестиции!DV38</f>
        <v>0</v>
      </c>
      <c r="DT22" s="136">
        <f>Инвестиции!DW38</f>
        <v>0</v>
      </c>
      <c r="DU22" s="136">
        <f>Инвестиции!DX38</f>
        <v>0</v>
      </c>
      <c r="DV22" s="136">
        <f>Инвестиции!DY38</f>
        <v>0</v>
      </c>
      <c r="DW22" s="136">
        <f>Инвестиции!DZ38</f>
        <v>0</v>
      </c>
      <c r="DX22" s="136">
        <f>Инвестиции!EA38</f>
        <v>0</v>
      </c>
      <c r="DY22" s="136">
        <f>Инвестиции!EB38</f>
        <v>0</v>
      </c>
      <c r="DZ22" s="136">
        <f>Инвестиции!EC38</f>
        <v>0</v>
      </c>
      <c r="EA22" s="136">
        <f>Инвестиции!ED38</f>
        <v>0</v>
      </c>
      <c r="EB22" s="136">
        <f>Инвестиции!EE38</f>
        <v>0</v>
      </c>
      <c r="EC22" s="136">
        <f>Инвестиции!EF38</f>
        <v>0</v>
      </c>
      <c r="ED22" s="136">
        <f>Инвестиции!EG38</f>
        <v>0</v>
      </c>
    </row>
    <row r="23" spans="2:134" s="60" customFormat="1" ht="12.6" customHeight="1">
      <c r="B23" s="136" t="s">
        <v>449</v>
      </c>
      <c r="C23" s="136">
        <f>Инвестиции!F39</f>
        <v>0</v>
      </c>
      <c r="D23" s="136">
        <f>Инвестиции!G39</f>
        <v>0</v>
      </c>
      <c r="E23" s="136">
        <f>Инвестиции!H39</f>
        <v>0</v>
      </c>
      <c r="F23" s="136">
        <f>Инвестиции!I39</f>
        <v>0</v>
      </c>
      <c r="G23" s="136">
        <f>Инвестиции!J39</f>
        <v>0</v>
      </c>
      <c r="H23" s="136">
        <f>Инвестиции!K39</f>
        <v>0</v>
      </c>
      <c r="I23" s="136">
        <f>Инвестиции!L39</f>
        <v>0</v>
      </c>
      <c r="J23" s="136">
        <f>Инвестиции!M39</f>
        <v>0</v>
      </c>
      <c r="K23" s="136">
        <f>Инвестиции!N39</f>
        <v>0</v>
      </c>
      <c r="L23" s="136">
        <f>Инвестиции!O39</f>
        <v>0</v>
      </c>
      <c r="M23" s="136">
        <f>Инвестиции!P39</f>
        <v>0</v>
      </c>
      <c r="N23" s="136">
        <f>Инвестиции!Q39</f>
        <v>0</v>
      </c>
      <c r="O23" s="136">
        <f>Инвестиции!R39</f>
        <v>0</v>
      </c>
      <c r="P23" s="136">
        <f>Инвестиции!S39</f>
        <v>0</v>
      </c>
      <c r="Q23" s="136">
        <f>Инвестиции!T39</f>
        <v>0</v>
      </c>
      <c r="R23" s="136">
        <f>Инвестиции!U39</f>
        <v>0</v>
      </c>
      <c r="S23" s="136">
        <f>Инвестиции!V39</f>
        <v>0</v>
      </c>
      <c r="T23" s="136">
        <f>Инвестиции!W39</f>
        <v>0</v>
      </c>
      <c r="U23" s="136">
        <f>Инвестиции!X39</f>
        <v>0</v>
      </c>
      <c r="V23" s="136">
        <f>Инвестиции!Y39</f>
        <v>0</v>
      </c>
      <c r="W23" s="136">
        <f>Инвестиции!Z39</f>
        <v>0</v>
      </c>
      <c r="X23" s="136">
        <f>Инвестиции!AA39</f>
        <v>0</v>
      </c>
      <c r="Y23" s="136">
        <f>Инвестиции!AB39</f>
        <v>0</v>
      </c>
      <c r="Z23" s="136">
        <f>Инвестиции!AC39</f>
        <v>0</v>
      </c>
      <c r="AA23" s="136">
        <f>Инвестиции!AD39</f>
        <v>0</v>
      </c>
      <c r="AB23" s="136">
        <f>Инвестиции!AE39</f>
        <v>0</v>
      </c>
      <c r="AC23" s="136">
        <f>Инвестиции!AF39</f>
        <v>0</v>
      </c>
      <c r="AD23" s="136">
        <f>Инвестиции!AG39</f>
        <v>0</v>
      </c>
      <c r="AE23" s="136">
        <f>Инвестиции!AH39</f>
        <v>0</v>
      </c>
      <c r="AF23" s="136">
        <f>Инвестиции!AI39</f>
        <v>0</v>
      </c>
      <c r="AG23" s="136">
        <f>Инвестиции!AJ39</f>
        <v>0</v>
      </c>
      <c r="AH23" s="136">
        <f>Инвестиции!AK39</f>
        <v>0</v>
      </c>
      <c r="AI23" s="136">
        <f>Инвестиции!AL39</f>
        <v>0</v>
      </c>
      <c r="AJ23" s="136">
        <f>Инвестиции!AM39</f>
        <v>0</v>
      </c>
      <c r="AK23" s="136">
        <f>Инвестиции!AN39</f>
        <v>0</v>
      </c>
      <c r="AL23" s="136">
        <f>Инвестиции!AO39</f>
        <v>0</v>
      </c>
      <c r="AM23" s="136">
        <f>Инвестиции!AP39</f>
        <v>0</v>
      </c>
      <c r="AN23" s="136">
        <f>Инвестиции!AQ39</f>
        <v>0</v>
      </c>
      <c r="AO23" s="136">
        <f>Инвестиции!AR39</f>
        <v>0</v>
      </c>
      <c r="AP23" s="136">
        <f>Инвестиции!AS39</f>
        <v>0</v>
      </c>
      <c r="AQ23" s="136">
        <f>Инвестиции!AT39</f>
        <v>0</v>
      </c>
      <c r="AR23" s="136">
        <f>Инвестиции!AU39</f>
        <v>0</v>
      </c>
      <c r="AS23" s="136">
        <f>Инвестиции!AV39</f>
        <v>0</v>
      </c>
      <c r="AT23" s="136">
        <f>Инвестиции!AW39</f>
        <v>0</v>
      </c>
      <c r="AU23" s="136">
        <f>Инвестиции!AX39</f>
        <v>0</v>
      </c>
      <c r="AV23" s="136">
        <f>Инвестиции!AY39</f>
        <v>0</v>
      </c>
      <c r="AW23" s="136">
        <f>Инвестиции!AZ39</f>
        <v>0</v>
      </c>
      <c r="AX23" s="136">
        <f>Инвестиции!BA39</f>
        <v>0</v>
      </c>
      <c r="AY23" s="136">
        <f>Инвестиции!BB39</f>
        <v>0</v>
      </c>
      <c r="AZ23" s="136">
        <f>Инвестиции!BC39</f>
        <v>0</v>
      </c>
      <c r="BA23" s="136">
        <f>Инвестиции!BD39</f>
        <v>0</v>
      </c>
      <c r="BB23" s="136">
        <f>Инвестиции!BE39</f>
        <v>0</v>
      </c>
      <c r="BC23" s="136">
        <f>Инвестиции!BF39</f>
        <v>0</v>
      </c>
      <c r="BD23" s="136">
        <f>Инвестиции!BG39</f>
        <v>11044.573934533339</v>
      </c>
      <c r="BE23" s="136">
        <f>Инвестиции!BH39</f>
        <v>11044.573934533339</v>
      </c>
      <c r="BF23" s="136">
        <f>Инвестиции!BI39</f>
        <v>11044.573934533339</v>
      </c>
      <c r="BG23" s="136">
        <f>Инвестиции!BJ39</f>
        <v>11044.573934533339</v>
      </c>
      <c r="BH23" s="136">
        <f>Инвестиции!BK39</f>
        <v>11044.573934533339</v>
      </c>
      <c r="BI23" s="136">
        <f>Инвестиции!BL39</f>
        <v>0</v>
      </c>
      <c r="BJ23" s="136">
        <f>Инвестиции!BM39</f>
        <v>0</v>
      </c>
      <c r="BK23" s="136">
        <f>Инвестиции!BN39</f>
        <v>0</v>
      </c>
      <c r="BL23" s="136">
        <f>Инвестиции!BO39</f>
        <v>0</v>
      </c>
      <c r="BM23" s="136">
        <f>Инвестиции!BP39</f>
        <v>0</v>
      </c>
      <c r="BN23" s="136">
        <f>Инвестиции!BQ39</f>
        <v>0</v>
      </c>
      <c r="BO23" s="136">
        <f>Инвестиции!BR39</f>
        <v>0</v>
      </c>
      <c r="BP23" s="136">
        <f>Инвестиции!BS39</f>
        <v>0</v>
      </c>
      <c r="BQ23" s="136">
        <f>Инвестиции!BT39</f>
        <v>0</v>
      </c>
      <c r="BR23" s="136">
        <f>Инвестиции!BU39</f>
        <v>0</v>
      </c>
      <c r="BS23" s="136">
        <f>Инвестиции!BV39</f>
        <v>0</v>
      </c>
      <c r="BT23" s="136">
        <f>Инвестиции!BW39</f>
        <v>0</v>
      </c>
      <c r="BU23" s="136">
        <f>Инвестиции!BX39</f>
        <v>0</v>
      </c>
      <c r="BV23" s="136">
        <f>Инвестиции!BY39</f>
        <v>0</v>
      </c>
      <c r="BW23" s="136">
        <f>Инвестиции!BZ39</f>
        <v>0</v>
      </c>
      <c r="BX23" s="136">
        <f>Инвестиции!CA39</f>
        <v>0</v>
      </c>
      <c r="BY23" s="136">
        <f>Инвестиции!CB39</f>
        <v>0</v>
      </c>
      <c r="BZ23" s="136">
        <f>Инвестиции!CC39</f>
        <v>0</v>
      </c>
      <c r="CA23" s="136">
        <f>Инвестиции!CD39</f>
        <v>0</v>
      </c>
      <c r="CB23" s="136">
        <f>Инвестиции!CE39</f>
        <v>0</v>
      </c>
      <c r="CC23" s="136">
        <f>Инвестиции!CF39</f>
        <v>0</v>
      </c>
      <c r="CD23" s="136">
        <f>Инвестиции!CG39</f>
        <v>0</v>
      </c>
      <c r="CE23" s="136">
        <f>Инвестиции!CH39</f>
        <v>0</v>
      </c>
      <c r="CF23" s="136">
        <f>Инвестиции!CI39</f>
        <v>0</v>
      </c>
      <c r="CG23" s="136">
        <f>Инвестиции!CJ39</f>
        <v>0</v>
      </c>
      <c r="CH23" s="136">
        <f>Инвестиции!CK39</f>
        <v>0</v>
      </c>
      <c r="CI23" s="136">
        <f>Инвестиции!CL39</f>
        <v>0</v>
      </c>
      <c r="CJ23" s="136">
        <f>Инвестиции!CM39</f>
        <v>0</v>
      </c>
      <c r="CK23" s="136">
        <f>Инвестиции!CN39</f>
        <v>0</v>
      </c>
      <c r="CL23" s="136">
        <f>Инвестиции!CO39</f>
        <v>0</v>
      </c>
      <c r="CM23" s="136">
        <f>Инвестиции!CP39</f>
        <v>0</v>
      </c>
      <c r="CN23" s="136">
        <f>Инвестиции!CQ39</f>
        <v>0</v>
      </c>
      <c r="CO23" s="136">
        <f>Инвестиции!CR39</f>
        <v>0</v>
      </c>
      <c r="CP23" s="136">
        <f>Инвестиции!CS39</f>
        <v>0</v>
      </c>
      <c r="CQ23" s="136">
        <f>Инвестиции!CT39</f>
        <v>0</v>
      </c>
      <c r="CR23" s="136">
        <f>Инвестиции!CU39</f>
        <v>0</v>
      </c>
      <c r="CS23" s="136">
        <f>Инвестиции!CV39</f>
        <v>0</v>
      </c>
      <c r="CT23" s="136">
        <f>Инвестиции!CW39</f>
        <v>0</v>
      </c>
      <c r="CU23" s="136">
        <f>Инвестиции!CX39</f>
        <v>0</v>
      </c>
      <c r="CV23" s="136">
        <f>Инвестиции!CY39</f>
        <v>0</v>
      </c>
      <c r="CW23" s="136">
        <f>Инвестиции!CZ39</f>
        <v>0</v>
      </c>
      <c r="CX23" s="136">
        <f>Инвестиции!DA39</f>
        <v>0</v>
      </c>
      <c r="CY23" s="136">
        <f>Инвестиции!DB39</f>
        <v>0</v>
      </c>
      <c r="CZ23" s="136">
        <f>Инвестиции!DC39</f>
        <v>0</v>
      </c>
      <c r="DA23" s="136">
        <f>Инвестиции!DD39</f>
        <v>0</v>
      </c>
      <c r="DB23" s="136">
        <f>Инвестиции!DE39</f>
        <v>0</v>
      </c>
      <c r="DC23" s="136">
        <f>Инвестиции!DF39</f>
        <v>0</v>
      </c>
      <c r="DD23" s="136">
        <f>Инвестиции!DG39</f>
        <v>0</v>
      </c>
      <c r="DE23" s="136">
        <f>Инвестиции!DH39</f>
        <v>0</v>
      </c>
      <c r="DF23" s="136">
        <f>Инвестиции!DI39</f>
        <v>0</v>
      </c>
      <c r="DG23" s="136">
        <f>Инвестиции!DJ39</f>
        <v>0</v>
      </c>
      <c r="DH23" s="136">
        <f>Инвестиции!DK39</f>
        <v>0</v>
      </c>
      <c r="DI23" s="136">
        <f>Инвестиции!DL39</f>
        <v>0</v>
      </c>
      <c r="DJ23" s="136">
        <f>Инвестиции!DM39</f>
        <v>0</v>
      </c>
      <c r="DK23" s="136">
        <f>Инвестиции!DN39</f>
        <v>0</v>
      </c>
      <c r="DL23" s="136">
        <f>Инвестиции!DO39</f>
        <v>0</v>
      </c>
      <c r="DM23" s="136">
        <f>Инвестиции!DP39</f>
        <v>0</v>
      </c>
      <c r="DN23" s="136">
        <f>Инвестиции!DQ39</f>
        <v>0</v>
      </c>
      <c r="DO23" s="136">
        <f>Инвестиции!DR39</f>
        <v>0</v>
      </c>
      <c r="DP23" s="136">
        <f>Инвестиции!DS39</f>
        <v>0</v>
      </c>
      <c r="DQ23" s="136">
        <f>Инвестиции!DT39</f>
        <v>0</v>
      </c>
      <c r="DR23" s="136">
        <f>Инвестиции!DU39</f>
        <v>0</v>
      </c>
      <c r="DS23" s="136">
        <f>Инвестиции!DV39</f>
        <v>0</v>
      </c>
      <c r="DT23" s="136">
        <f>Инвестиции!DW39</f>
        <v>0</v>
      </c>
      <c r="DU23" s="136">
        <f>Инвестиции!DX39</f>
        <v>0</v>
      </c>
      <c r="DV23" s="136">
        <f>Инвестиции!DY39</f>
        <v>0</v>
      </c>
      <c r="DW23" s="136">
        <f>Инвестиции!DZ39</f>
        <v>0</v>
      </c>
      <c r="DX23" s="136">
        <f>Инвестиции!EA39</f>
        <v>0</v>
      </c>
      <c r="DY23" s="136">
        <f>Инвестиции!EB39</f>
        <v>0</v>
      </c>
      <c r="DZ23" s="136">
        <f>Инвестиции!EC39</f>
        <v>0</v>
      </c>
      <c r="EA23" s="136">
        <f>Инвестиции!ED39</f>
        <v>0</v>
      </c>
      <c r="EB23" s="136">
        <f>Инвестиции!EE39</f>
        <v>0</v>
      </c>
      <c r="EC23" s="136">
        <f>Инвестиции!EF39</f>
        <v>0</v>
      </c>
      <c r="ED23" s="136">
        <f>Инвестиции!EG39</f>
        <v>0</v>
      </c>
    </row>
    <row r="24" spans="2:134" s="60" customFormat="1" ht="12.6" customHeight="1">
      <c r="B24" s="136" t="s">
        <v>450</v>
      </c>
      <c r="C24" s="136">
        <f>Инвестиции!F46+Инвестиции!F47+Инвестиции!F69+Инвестиции!F70</f>
        <v>0</v>
      </c>
      <c r="D24" s="136">
        <f>Инвестиции!G46+Инвестиции!G47+Инвестиции!G69+Инвестиции!G70</f>
        <v>0</v>
      </c>
      <c r="E24" s="136">
        <f>Инвестиции!H46+Инвестиции!H47+Инвестиции!H69+Инвестиции!H70</f>
        <v>0</v>
      </c>
      <c r="F24" s="136">
        <f>Инвестиции!I46+Инвестиции!I47+Инвестиции!I69+Инвестиции!I70</f>
        <v>0</v>
      </c>
      <c r="G24" s="136">
        <f>Инвестиции!J46+Инвестиции!J47+Инвестиции!J69+Инвестиции!J70</f>
        <v>0</v>
      </c>
      <c r="H24" s="136">
        <f>Инвестиции!K46+Инвестиции!K47+Инвестиции!K69+Инвестиции!K70</f>
        <v>0</v>
      </c>
      <c r="I24" s="136">
        <f>Инвестиции!L46+Инвестиции!L47+Инвестиции!L69+Инвестиции!L70</f>
        <v>0</v>
      </c>
      <c r="J24" s="136">
        <f>Инвестиции!M46+Инвестиции!M47+Инвестиции!M69+Инвестиции!M70</f>
        <v>0</v>
      </c>
      <c r="K24" s="136">
        <f>Инвестиции!N46+Инвестиции!N47+Инвестиции!N69+Инвестиции!N70</f>
        <v>0</v>
      </c>
      <c r="L24" s="136">
        <f>Инвестиции!O46+Инвестиции!O47+Инвестиции!O69+Инвестиции!O70</f>
        <v>0</v>
      </c>
      <c r="M24" s="136">
        <f>Инвестиции!P46+Инвестиции!P47+Инвестиции!P69+Инвестиции!P70</f>
        <v>0</v>
      </c>
      <c r="N24" s="136">
        <f>Инвестиции!Q46+Инвестиции!Q47+Инвестиции!Q69+Инвестиции!Q70</f>
        <v>0</v>
      </c>
      <c r="O24" s="136">
        <f>Инвестиции!R46+Инвестиции!R47+Инвестиции!R69+Инвестиции!R70</f>
        <v>0</v>
      </c>
      <c r="P24" s="136">
        <f>Инвестиции!S46+Инвестиции!S47+Инвестиции!S69+Инвестиции!S70</f>
        <v>0</v>
      </c>
      <c r="Q24" s="136">
        <f>Инвестиции!T46+Инвестиции!T47+Инвестиции!T69+Инвестиции!T70</f>
        <v>0</v>
      </c>
      <c r="R24" s="136">
        <f>Инвестиции!U46+Инвестиции!U47+Инвестиции!U69+Инвестиции!U70</f>
        <v>0</v>
      </c>
      <c r="S24" s="136">
        <f>Инвестиции!V46+Инвестиции!V47+Инвестиции!V69+Инвестиции!V70</f>
        <v>0</v>
      </c>
      <c r="T24" s="136">
        <f>Инвестиции!W46+Инвестиции!W47+Инвестиции!W69+Инвестиции!W70</f>
        <v>0</v>
      </c>
      <c r="U24" s="136">
        <f>Инвестиции!X46+Инвестиции!X47+Инвестиции!X69+Инвестиции!X70</f>
        <v>0</v>
      </c>
      <c r="V24" s="136">
        <f>Инвестиции!Y46+Инвестиции!Y47+Инвестиции!Y69+Инвестиции!Y70</f>
        <v>0</v>
      </c>
      <c r="W24" s="136">
        <f>Инвестиции!Z46+Инвестиции!Z47+Инвестиции!Z69+Инвестиции!Z70</f>
        <v>7130.2</v>
      </c>
      <c r="X24" s="136">
        <f>Инвестиции!AA46+Инвестиции!AA47+Инвестиции!AA69+Инвестиции!AA70</f>
        <v>28520.799999999999</v>
      </c>
      <c r="Y24" s="136">
        <f>Инвестиции!AB46+Инвестиции!AB47+Инвестиции!AB69+Инвестиции!AB70</f>
        <v>0</v>
      </c>
      <c r="Z24" s="136">
        <f>Инвестиции!AC46+Инвестиции!AC47+Инвестиции!AC69+Инвестиции!AC70</f>
        <v>0</v>
      </c>
      <c r="AA24" s="136">
        <f>Инвестиции!AD46+Инвестиции!AD47+Инвестиции!AD69+Инвестиции!AD70</f>
        <v>0</v>
      </c>
      <c r="AB24" s="136">
        <f>Инвестиции!AE46+Инвестиции!AE47+Инвестиции!AE69+Инвестиции!AE70</f>
        <v>0</v>
      </c>
      <c r="AC24" s="136">
        <f>Инвестиции!AF46+Инвестиции!AF47+Инвестиции!AF69+Инвестиции!AF70</f>
        <v>0</v>
      </c>
      <c r="AD24" s="136">
        <f>Инвестиции!AG46+Инвестиции!AG47+Инвестиции!AG69+Инвестиции!AG70</f>
        <v>0</v>
      </c>
      <c r="AE24" s="136">
        <f>Инвестиции!AH46+Инвестиции!AH47+Инвестиции!AH69+Инвестиции!AH70</f>
        <v>0</v>
      </c>
      <c r="AF24" s="136">
        <f>Инвестиции!AI46+Инвестиции!AI47+Инвестиции!AI69+Инвестиции!AI70</f>
        <v>0</v>
      </c>
      <c r="AG24" s="136">
        <f>Инвестиции!AJ46+Инвестиции!AJ47+Инвестиции!AJ69+Инвестиции!AJ70</f>
        <v>0</v>
      </c>
      <c r="AH24" s="136">
        <f>Инвестиции!AK46+Инвестиции!AK47+Инвестиции!AK69+Инвестиции!AK70</f>
        <v>0</v>
      </c>
      <c r="AI24" s="136">
        <f>Инвестиции!AL46+Инвестиции!AL47+Инвестиции!AL69+Инвестиции!AL70</f>
        <v>0</v>
      </c>
      <c r="AJ24" s="136">
        <f>Инвестиции!AM46+Инвестиции!AM47+Инвестиции!AM69+Инвестиции!AM70</f>
        <v>0</v>
      </c>
      <c r="AK24" s="136">
        <f>Инвестиции!AN46+Инвестиции!AN47+Инвестиции!AN69+Инвестиции!AN70</f>
        <v>0</v>
      </c>
      <c r="AL24" s="136">
        <f>Инвестиции!AO46+Инвестиции!AO47+Инвестиции!AO69+Инвестиции!AO70</f>
        <v>0</v>
      </c>
      <c r="AM24" s="136">
        <f>Инвестиции!AP46+Инвестиции!AP47+Инвестиции!AP69+Инвестиции!AP70</f>
        <v>0</v>
      </c>
      <c r="AN24" s="136">
        <f>Инвестиции!AQ46+Инвестиции!AQ47+Инвестиции!AQ69+Инвестиции!AQ70</f>
        <v>0</v>
      </c>
      <c r="AO24" s="136">
        <f>Инвестиции!AR46+Инвестиции!AR47+Инвестиции!AR69+Инвестиции!AR70</f>
        <v>0</v>
      </c>
      <c r="AP24" s="136">
        <f>Инвестиции!AS46+Инвестиции!AS47+Инвестиции!AS69+Инвестиции!AS70</f>
        <v>0</v>
      </c>
      <c r="AQ24" s="136">
        <f>Инвестиции!AT46+Инвестиции!AT47+Инвестиции!AT69+Инвестиции!AT70</f>
        <v>0</v>
      </c>
      <c r="AR24" s="136">
        <f>Инвестиции!AU46+Инвестиции!AU47+Инвестиции!AU69+Инвестиции!AU70</f>
        <v>0</v>
      </c>
      <c r="AS24" s="136">
        <f>Инвестиции!AV46+Инвестиции!AV47+Инвестиции!AV69+Инвестиции!AV70</f>
        <v>0</v>
      </c>
      <c r="AT24" s="136">
        <f>Инвестиции!AW46+Инвестиции!AW47+Инвестиции!AW69+Инвестиции!AW70</f>
        <v>0</v>
      </c>
      <c r="AU24" s="136">
        <f>Инвестиции!AX46+Инвестиции!AX47+Инвестиции!AX69+Инвестиции!AX70</f>
        <v>0</v>
      </c>
      <c r="AV24" s="136">
        <f>Инвестиции!AY46+Инвестиции!AY47+Инвестиции!AY69+Инвестиции!AY70</f>
        <v>0</v>
      </c>
      <c r="AW24" s="136">
        <f>Инвестиции!AZ46+Инвестиции!AZ47+Инвестиции!AZ69+Инвестиции!AZ70</f>
        <v>0</v>
      </c>
      <c r="AX24" s="136">
        <f>Инвестиции!BA46+Инвестиции!BA47+Инвестиции!BA69+Инвестиции!BA70</f>
        <v>0</v>
      </c>
      <c r="AY24" s="136">
        <f>Инвестиции!BB46+Инвестиции!BB47+Инвестиции!BB69+Инвестиции!BB70</f>
        <v>0</v>
      </c>
      <c r="AZ24" s="136">
        <f>Инвестиции!BC46+Инвестиции!BC47+Инвестиции!BC69+Инвестиции!BC70</f>
        <v>0</v>
      </c>
      <c r="BA24" s="136">
        <f>Инвестиции!BD46+Инвестиции!BD47+Инвестиции!BD69+Инвестиции!BD70</f>
        <v>0</v>
      </c>
      <c r="BB24" s="136">
        <f>Инвестиции!BE46+Инвестиции!BE47+Инвестиции!BE69+Инвестиции!BE70</f>
        <v>0</v>
      </c>
      <c r="BC24" s="136">
        <f>Инвестиции!BF46+Инвестиции!BF47+Инвестиции!BF69+Инвестиции!BF70</f>
        <v>0</v>
      </c>
      <c r="BD24" s="136">
        <f>Инвестиции!BG46+Инвестиции!BG47+Инвестиции!BG69+Инвестиции!BG70</f>
        <v>0</v>
      </c>
      <c r="BE24" s="136">
        <f>Инвестиции!BH46+Инвестиции!BH47+Инвестиции!BH69+Инвестиции!BH70</f>
        <v>0</v>
      </c>
      <c r="BF24" s="136">
        <f>Инвестиции!BI46+Инвестиции!BI47+Инвестиции!BI69+Инвестиции!BI70</f>
        <v>0</v>
      </c>
      <c r="BG24" s="136">
        <f>Инвестиции!BJ46+Инвестиции!BJ47+Инвестиции!BJ69+Инвестиции!BJ70</f>
        <v>0</v>
      </c>
      <c r="BH24" s="136">
        <f>Инвестиции!BK46+Инвестиции!BK47+Инвестиции!BK69+Инвестиции!BK70</f>
        <v>0</v>
      </c>
      <c r="BI24" s="136">
        <f>Инвестиции!BL46+Инвестиции!BL47+Инвестиции!BL69+Инвестиции!BL70</f>
        <v>0</v>
      </c>
      <c r="BJ24" s="136">
        <f>Инвестиции!BM46+Инвестиции!BM47+Инвестиции!BM69+Инвестиции!BM70</f>
        <v>0</v>
      </c>
      <c r="BK24" s="136">
        <f>Инвестиции!BN46+Инвестиции!BN47+Инвестиции!BN69+Инвестиции!BN70</f>
        <v>0</v>
      </c>
      <c r="BL24" s="136">
        <f>Инвестиции!BO46+Инвестиции!BO47+Инвестиции!BO69+Инвестиции!BO70</f>
        <v>0</v>
      </c>
      <c r="BM24" s="136">
        <f>Инвестиции!BP46+Инвестиции!BP47+Инвестиции!BP69+Инвестиции!BP70</f>
        <v>0</v>
      </c>
      <c r="BN24" s="136">
        <f>Инвестиции!BQ46+Инвестиции!BQ47+Инвестиции!BQ69+Инвестиции!BQ70</f>
        <v>0</v>
      </c>
      <c r="BO24" s="136">
        <f>Инвестиции!BR46+Инвестиции!BR47+Инвестиции!BR69+Инвестиции!BR70</f>
        <v>0</v>
      </c>
      <c r="BP24" s="136">
        <f>Инвестиции!BS46+Инвестиции!BS47+Инвестиции!BS69+Инвестиции!BS70</f>
        <v>0</v>
      </c>
      <c r="BQ24" s="136">
        <f>Инвестиции!BT46+Инвестиции!BT47+Инвестиции!BT69+Инвестиции!BT70</f>
        <v>0</v>
      </c>
      <c r="BR24" s="136">
        <f>Инвестиции!BU46+Инвестиции!BU47+Инвестиции!BU69+Инвестиции!BU70</f>
        <v>0</v>
      </c>
      <c r="BS24" s="136">
        <f>Инвестиции!BV46+Инвестиции!BV47+Инвестиции!BV69+Инвестиции!BV70</f>
        <v>0</v>
      </c>
      <c r="BT24" s="136">
        <f>Инвестиции!BW46+Инвестиции!BW47+Инвестиции!BW69+Инвестиции!BW70</f>
        <v>0</v>
      </c>
      <c r="BU24" s="136">
        <f>Инвестиции!BX46+Инвестиции!BX47+Инвестиции!BX69+Инвестиции!BX70</f>
        <v>0</v>
      </c>
      <c r="BV24" s="136">
        <f>Инвестиции!BY46+Инвестиции!BY47+Инвестиции!BY69+Инвестиции!BY70</f>
        <v>0</v>
      </c>
      <c r="BW24" s="136">
        <f>Инвестиции!BZ46+Инвестиции!BZ47+Инвестиции!BZ69+Инвестиции!BZ70</f>
        <v>0</v>
      </c>
      <c r="BX24" s="136">
        <f>Инвестиции!CA46+Инвестиции!CA47+Инвестиции!CA69+Инвестиции!CA70</f>
        <v>0</v>
      </c>
      <c r="BY24" s="136">
        <f>Инвестиции!CB46+Инвестиции!CB47+Инвестиции!CB69+Инвестиции!CB70</f>
        <v>0</v>
      </c>
      <c r="BZ24" s="136">
        <f>Инвестиции!CC46+Инвестиции!CC47+Инвестиции!CC69+Инвестиции!CC70</f>
        <v>0</v>
      </c>
      <c r="CA24" s="136">
        <f>Инвестиции!CD46+Инвестиции!CD47+Инвестиции!CD69+Инвестиции!CD70</f>
        <v>0</v>
      </c>
      <c r="CB24" s="136">
        <f>Инвестиции!CE46+Инвестиции!CE47+Инвестиции!CE69+Инвестиции!CE70</f>
        <v>0</v>
      </c>
      <c r="CC24" s="136">
        <f>Инвестиции!CF46+Инвестиции!CF47+Инвестиции!CF69+Инвестиции!CF70</f>
        <v>0</v>
      </c>
      <c r="CD24" s="136">
        <f>Инвестиции!CG46+Инвестиции!CG47+Инвестиции!CG69+Инвестиции!CG70</f>
        <v>0</v>
      </c>
      <c r="CE24" s="136">
        <f>Инвестиции!CH46+Инвестиции!CH47+Инвестиции!CH69+Инвестиции!CH70</f>
        <v>0</v>
      </c>
      <c r="CF24" s="136">
        <f>Инвестиции!CI46+Инвестиции!CI47+Инвестиции!CI69+Инвестиции!CI70</f>
        <v>0</v>
      </c>
      <c r="CG24" s="136">
        <f>Инвестиции!CJ46+Инвестиции!CJ47+Инвестиции!CJ69+Инвестиции!CJ70</f>
        <v>0</v>
      </c>
      <c r="CH24" s="136">
        <f>Инвестиции!CK46+Инвестиции!CK47+Инвестиции!CK69+Инвестиции!CK70</f>
        <v>0</v>
      </c>
      <c r="CI24" s="136">
        <f>Инвестиции!CL46+Инвестиции!CL47+Инвестиции!CL69+Инвестиции!CL70</f>
        <v>0</v>
      </c>
      <c r="CJ24" s="136">
        <f>Инвестиции!CM46+Инвестиции!CM47+Инвестиции!CM69+Инвестиции!CM70</f>
        <v>0</v>
      </c>
      <c r="CK24" s="136">
        <f>Инвестиции!CN46+Инвестиции!CN47+Инвестиции!CN69+Инвестиции!CN70</f>
        <v>0</v>
      </c>
      <c r="CL24" s="136">
        <f>Инвестиции!CO46+Инвестиции!CO47+Инвестиции!CO69+Инвестиции!CO70</f>
        <v>0</v>
      </c>
      <c r="CM24" s="136">
        <f>Инвестиции!CP46+Инвестиции!CP47+Инвестиции!CP69+Инвестиции!CP70</f>
        <v>0</v>
      </c>
      <c r="CN24" s="136">
        <f>Инвестиции!CQ46+Инвестиции!CQ47+Инвестиции!CQ69+Инвестиции!CQ70</f>
        <v>0</v>
      </c>
      <c r="CO24" s="136">
        <f>Инвестиции!CR46+Инвестиции!CR47+Инвестиции!CR69+Инвестиции!CR70</f>
        <v>0</v>
      </c>
      <c r="CP24" s="136">
        <f>Инвестиции!CS46+Инвестиции!CS47+Инвестиции!CS69+Инвестиции!CS70</f>
        <v>0</v>
      </c>
      <c r="CQ24" s="136">
        <f>Инвестиции!CT46+Инвестиции!CT47+Инвестиции!CT69+Инвестиции!CT70</f>
        <v>0</v>
      </c>
      <c r="CR24" s="136">
        <f>Инвестиции!CU46+Инвестиции!CU47+Инвестиции!CU69+Инвестиции!CU70</f>
        <v>0</v>
      </c>
      <c r="CS24" s="136">
        <f>Инвестиции!CV46+Инвестиции!CV47+Инвестиции!CV69+Инвестиции!CV70</f>
        <v>0</v>
      </c>
      <c r="CT24" s="136">
        <f>Инвестиции!CW46+Инвестиции!CW47+Инвестиции!CW69+Инвестиции!CW70</f>
        <v>0</v>
      </c>
      <c r="CU24" s="136">
        <f>Инвестиции!CX46+Инвестиции!CX47+Инвестиции!CX69+Инвестиции!CX70</f>
        <v>0</v>
      </c>
      <c r="CV24" s="136">
        <f>Инвестиции!CY46+Инвестиции!CY47+Инвестиции!CY69+Инвестиции!CY70</f>
        <v>0</v>
      </c>
      <c r="CW24" s="136">
        <f>Инвестиции!CZ46+Инвестиции!CZ47+Инвестиции!CZ69+Инвестиции!CZ70</f>
        <v>0</v>
      </c>
      <c r="CX24" s="136">
        <f>Инвестиции!DA46+Инвестиции!DA47+Инвестиции!DA69+Инвестиции!DA70</f>
        <v>0</v>
      </c>
      <c r="CY24" s="136">
        <f>Инвестиции!DB46+Инвестиции!DB47+Инвестиции!DB69+Инвестиции!DB70</f>
        <v>0</v>
      </c>
      <c r="CZ24" s="136">
        <f>Инвестиции!DC46+Инвестиции!DC47+Инвестиции!DC69+Инвестиции!DC70</f>
        <v>0</v>
      </c>
      <c r="DA24" s="136">
        <f>Инвестиции!DD46+Инвестиции!DD47+Инвестиции!DD69+Инвестиции!DD70</f>
        <v>0</v>
      </c>
      <c r="DB24" s="136">
        <f>Инвестиции!DE46+Инвестиции!DE47+Инвестиции!DE69+Инвестиции!DE70</f>
        <v>0</v>
      </c>
      <c r="DC24" s="136">
        <f>Инвестиции!DF46+Инвестиции!DF47+Инвестиции!DF69+Инвестиции!DF70</f>
        <v>0</v>
      </c>
      <c r="DD24" s="136">
        <f>Инвестиции!DG46+Инвестиции!DG47+Инвестиции!DG69+Инвестиции!DG70</f>
        <v>0</v>
      </c>
      <c r="DE24" s="136">
        <f>Инвестиции!DH46+Инвестиции!DH47+Инвестиции!DH69+Инвестиции!DH70</f>
        <v>0</v>
      </c>
      <c r="DF24" s="136">
        <f>Инвестиции!DI46+Инвестиции!DI47+Инвестиции!DI69+Инвестиции!DI70</f>
        <v>0</v>
      </c>
      <c r="DG24" s="136">
        <f>Инвестиции!DJ46+Инвестиции!DJ47+Инвестиции!DJ69+Инвестиции!DJ70</f>
        <v>0</v>
      </c>
      <c r="DH24" s="136">
        <f>Инвестиции!DK46+Инвестиции!DK47+Инвестиции!DK69+Инвестиции!DK70</f>
        <v>0</v>
      </c>
      <c r="DI24" s="136">
        <f>Инвестиции!DL46+Инвестиции!DL47+Инвестиции!DL69+Инвестиции!DL70</f>
        <v>0</v>
      </c>
      <c r="DJ24" s="136">
        <f>Инвестиции!DM46+Инвестиции!DM47+Инвестиции!DM69+Инвестиции!DM70</f>
        <v>0</v>
      </c>
      <c r="DK24" s="136">
        <f>Инвестиции!DN46+Инвестиции!DN47+Инвестиции!DN69+Инвестиции!DN70</f>
        <v>0</v>
      </c>
      <c r="DL24" s="136">
        <f>Инвестиции!DO46+Инвестиции!DO47+Инвестиции!DO69+Инвестиции!DO70</f>
        <v>0</v>
      </c>
      <c r="DM24" s="136">
        <f>Инвестиции!DP46+Инвестиции!DP47+Инвестиции!DP69+Инвестиции!DP70</f>
        <v>0</v>
      </c>
      <c r="DN24" s="136">
        <f>Инвестиции!DQ46+Инвестиции!DQ47+Инвестиции!DQ69+Инвестиции!DQ70</f>
        <v>0</v>
      </c>
      <c r="DO24" s="136">
        <f>Инвестиции!DR46+Инвестиции!DR47+Инвестиции!DR69+Инвестиции!DR70</f>
        <v>0</v>
      </c>
      <c r="DP24" s="136">
        <f>Инвестиции!DS46+Инвестиции!DS47+Инвестиции!DS69+Инвестиции!DS70</f>
        <v>0</v>
      </c>
      <c r="DQ24" s="136">
        <f>Инвестиции!DT46+Инвестиции!DT47+Инвестиции!DT69+Инвестиции!DT70</f>
        <v>0</v>
      </c>
      <c r="DR24" s="136">
        <f>Инвестиции!DU46+Инвестиции!DU47+Инвестиции!DU69+Инвестиции!DU70</f>
        <v>0</v>
      </c>
      <c r="DS24" s="136">
        <f>Инвестиции!DV46+Инвестиции!DV47+Инвестиции!DV69+Инвестиции!DV70</f>
        <v>0</v>
      </c>
      <c r="DT24" s="136">
        <f>Инвестиции!DW46+Инвестиции!DW47+Инвестиции!DW69+Инвестиции!DW70</f>
        <v>0</v>
      </c>
      <c r="DU24" s="136">
        <f>Инвестиции!DX46+Инвестиции!DX47+Инвестиции!DX69+Инвестиции!DX70</f>
        <v>0</v>
      </c>
      <c r="DV24" s="136">
        <f>Инвестиции!DY46+Инвестиции!DY47+Инвестиции!DY69+Инвестиции!DY70</f>
        <v>0</v>
      </c>
      <c r="DW24" s="136">
        <f>Инвестиции!DZ46+Инвестиции!DZ47+Инвестиции!DZ69+Инвестиции!DZ70</f>
        <v>0</v>
      </c>
      <c r="DX24" s="136">
        <f>Инвестиции!EA46+Инвестиции!EA47+Инвестиции!EA69+Инвестиции!EA70</f>
        <v>0</v>
      </c>
      <c r="DY24" s="136">
        <f>Инвестиции!EB46+Инвестиции!EB47+Инвестиции!EB69+Инвестиции!EB70</f>
        <v>0</v>
      </c>
      <c r="DZ24" s="136">
        <f>Инвестиции!EC46+Инвестиции!EC47+Инвестиции!EC69+Инвестиции!EC70</f>
        <v>0</v>
      </c>
      <c r="EA24" s="136">
        <f>Инвестиции!ED46+Инвестиции!ED47+Инвестиции!ED69+Инвестиции!ED70</f>
        <v>0</v>
      </c>
      <c r="EB24" s="136">
        <f>Инвестиции!EE46+Инвестиции!EE47+Инвестиции!EE69+Инвестиции!EE70</f>
        <v>0</v>
      </c>
      <c r="EC24" s="136">
        <f>Инвестиции!EF46+Инвестиции!EF47+Инвестиции!EF69+Инвестиции!EF70</f>
        <v>0</v>
      </c>
      <c r="ED24" s="136">
        <f>Инвестиции!EG46+Инвестиции!EG47+Инвестиции!EG69+Инвестиции!EG70</f>
        <v>0</v>
      </c>
    </row>
    <row r="25" spans="2:134" s="60" customFormat="1" ht="12.6" customHeight="1">
      <c r="B25" s="135" t="s">
        <v>506</v>
      </c>
      <c r="C25" s="135">
        <f>SUM(C26:C30)</f>
        <v>0</v>
      </c>
      <c r="D25" s="135">
        <f t="shared" ref="D25:BO25" si="19">SUM(D26:D30)</f>
        <v>0</v>
      </c>
      <c r="E25" s="135">
        <f t="shared" si="19"/>
        <v>0</v>
      </c>
      <c r="F25" s="135">
        <f t="shared" si="19"/>
        <v>0</v>
      </c>
      <c r="G25" s="135">
        <f t="shared" si="19"/>
        <v>0</v>
      </c>
      <c r="H25" s="135">
        <f t="shared" si="19"/>
        <v>0</v>
      </c>
      <c r="I25" s="135">
        <f t="shared" si="19"/>
        <v>0</v>
      </c>
      <c r="J25" s="135">
        <f t="shared" si="19"/>
        <v>0</v>
      </c>
      <c r="K25" s="135">
        <f t="shared" si="19"/>
        <v>0</v>
      </c>
      <c r="L25" s="135">
        <f t="shared" si="19"/>
        <v>0</v>
      </c>
      <c r="M25" s="135">
        <f t="shared" si="19"/>
        <v>0</v>
      </c>
      <c r="N25" s="135">
        <f t="shared" si="19"/>
        <v>0</v>
      </c>
      <c r="O25" s="135">
        <f t="shared" si="19"/>
        <v>0</v>
      </c>
      <c r="P25" s="135">
        <f t="shared" si="19"/>
        <v>0</v>
      </c>
      <c r="Q25" s="135">
        <f t="shared" si="19"/>
        <v>0</v>
      </c>
      <c r="R25" s="135">
        <f t="shared" si="19"/>
        <v>0</v>
      </c>
      <c r="S25" s="135">
        <f t="shared" si="19"/>
        <v>0</v>
      </c>
      <c r="T25" s="135">
        <f t="shared" si="19"/>
        <v>0</v>
      </c>
      <c r="U25" s="135">
        <f t="shared" si="19"/>
        <v>0</v>
      </c>
      <c r="V25" s="135">
        <f t="shared" si="19"/>
        <v>0</v>
      </c>
      <c r="W25" s="135">
        <f t="shared" si="19"/>
        <v>0</v>
      </c>
      <c r="X25" s="135">
        <f t="shared" si="19"/>
        <v>0</v>
      </c>
      <c r="Y25" s="135">
        <f t="shared" si="19"/>
        <v>0</v>
      </c>
      <c r="Z25" s="135">
        <f t="shared" si="19"/>
        <v>2689.112139695796</v>
      </c>
      <c r="AA25" s="135">
        <f t="shared" si="19"/>
        <v>2019.3051078311796</v>
      </c>
      <c r="AB25" s="135">
        <f t="shared" si="19"/>
        <v>2029.0266864056284</v>
      </c>
      <c r="AC25" s="135">
        <f t="shared" si="19"/>
        <v>2038.7986445337526</v>
      </c>
      <c r="AD25" s="135">
        <f t="shared" si="19"/>
        <v>2048.6212651099831</v>
      </c>
      <c r="AE25" s="135">
        <f t="shared" si="19"/>
        <v>2058.4948327408888</v>
      </c>
      <c r="AF25" s="135">
        <f t="shared" si="19"/>
        <v>2923.8735872597199</v>
      </c>
      <c r="AG25" s="135">
        <f t="shared" si="19"/>
        <v>2751.3972782155743</v>
      </c>
      <c r="AH25" s="135">
        <f t="shared" si="19"/>
        <v>2764.167302629231</v>
      </c>
      <c r="AI25" s="135">
        <f t="shared" si="19"/>
        <v>2777.0006006685749</v>
      </c>
      <c r="AJ25" s="135">
        <f t="shared" si="19"/>
        <v>2789.8975111787072</v>
      </c>
      <c r="AK25" s="135">
        <f t="shared" si="19"/>
        <v>2802.8583749694517</v>
      </c>
      <c r="AL25" s="135">
        <f t="shared" si="19"/>
        <v>2815.8835348275775</v>
      </c>
      <c r="AM25" s="135">
        <f t="shared" si="19"/>
        <v>2828.9733355290887</v>
      </c>
      <c r="AN25" s="135">
        <f t="shared" si="19"/>
        <v>2842.1281238516035</v>
      </c>
      <c r="AO25" s="135">
        <f t="shared" si="19"/>
        <v>2855.3482485868089</v>
      </c>
      <c r="AP25" s="135">
        <f t="shared" si="19"/>
        <v>2868.6340605530031</v>
      </c>
      <c r="AQ25" s="135">
        <f t="shared" si="19"/>
        <v>2881.9859126077122</v>
      </c>
      <c r="AR25" s="135">
        <f t="shared" si="19"/>
        <v>3836.4035085142864</v>
      </c>
      <c r="AS25" s="135">
        <f t="shared" si="19"/>
        <v>3649.1906128805854</v>
      </c>
      <c r="AT25" s="135">
        <f t="shared" si="19"/>
        <v>3665.7588026909816</v>
      </c>
      <c r="AU25" s="135">
        <f t="shared" si="19"/>
        <v>3682.4067525499377</v>
      </c>
      <c r="AV25" s="135">
        <f t="shared" si="19"/>
        <v>3699.1348757657265</v>
      </c>
      <c r="AW25" s="135">
        <f t="shared" si="19"/>
        <v>3715.9435879673028</v>
      </c>
      <c r="AX25" s="135">
        <f t="shared" si="19"/>
        <v>3732.8333071183433</v>
      </c>
      <c r="AY25" s="135">
        <f t="shared" si="19"/>
        <v>3749.8044535313807</v>
      </c>
      <c r="AZ25" s="135">
        <f t="shared" si="19"/>
        <v>3766.8574498820353</v>
      </c>
      <c r="BA25" s="135">
        <f t="shared" si="19"/>
        <v>3783.9927212233279</v>
      </c>
      <c r="BB25" s="135">
        <f t="shared" si="19"/>
        <v>3801.2106950000857</v>
      </c>
      <c r="BC25" s="135">
        <f t="shared" si="19"/>
        <v>3818.5118010634524</v>
      </c>
      <c r="BD25" s="135">
        <f t="shared" si="19"/>
        <v>4870.9957554247567</v>
      </c>
      <c r="BE25" s="135">
        <f t="shared" si="19"/>
        <v>4667.6967411886835</v>
      </c>
      <c r="BF25" s="135">
        <f t="shared" si="19"/>
        <v>4688.5675352391154</v>
      </c>
      <c r="BG25" s="135">
        <f t="shared" si="19"/>
        <v>4709.5367220076905</v>
      </c>
      <c r="BH25" s="135">
        <f t="shared" si="19"/>
        <v>4730.6047986665199</v>
      </c>
      <c r="BI25" s="135">
        <f t="shared" si="19"/>
        <v>4751.7722651073809</v>
      </c>
      <c r="BJ25" s="135">
        <f t="shared" si="19"/>
        <v>4773.0396239577976</v>
      </c>
      <c r="BK25" s="135">
        <f t="shared" si="19"/>
        <v>4794.4073805972221</v>
      </c>
      <c r="BL25" s="135">
        <f t="shared" si="19"/>
        <v>4815.876043173329</v>
      </c>
      <c r="BM25" s="135">
        <f t="shared" si="19"/>
        <v>4837.4461226183976</v>
      </c>
      <c r="BN25" s="135">
        <f t="shared" si="19"/>
        <v>4859.1181326658125</v>
      </c>
      <c r="BO25" s="135">
        <f t="shared" si="19"/>
        <v>4880.8925898666512</v>
      </c>
      <c r="BP25" s="135">
        <f t="shared" ref="BP25:EA25" si="20">SUM(BP26:BP30)</f>
        <v>4902.7700136063959</v>
      </c>
      <c r="BQ25" s="135">
        <f t="shared" si="20"/>
        <v>4924.750926121741</v>
      </c>
      <c r="BR25" s="135">
        <f t="shared" si="20"/>
        <v>4946.8358525175026</v>
      </c>
      <c r="BS25" s="135">
        <f t="shared" si="20"/>
        <v>4969.0253207836458</v>
      </c>
      <c r="BT25" s="135">
        <f t="shared" si="20"/>
        <v>4991.3198618124097</v>
      </c>
      <c r="BU25" s="135">
        <f t="shared" si="20"/>
        <v>5013.7200094155505</v>
      </c>
      <c r="BV25" s="135">
        <f t="shared" si="20"/>
        <v>5036.2263003416847</v>
      </c>
      <c r="BW25" s="135">
        <f t="shared" si="20"/>
        <v>5058.8392742937494</v>
      </c>
      <c r="BX25" s="135">
        <f t="shared" si="20"/>
        <v>5081.5594739465687</v>
      </c>
      <c r="BY25" s="135">
        <f t="shared" si="20"/>
        <v>5104.3874449645355</v>
      </c>
      <c r="BZ25" s="135">
        <f t="shared" si="20"/>
        <v>5127.3237360193998</v>
      </c>
      <c r="CA25" s="135">
        <f t="shared" si="20"/>
        <v>5150.3688988081776</v>
      </c>
      <c r="CB25" s="135">
        <f t="shared" si="20"/>
        <v>5173.5234880711669</v>
      </c>
      <c r="CC25" s="135">
        <f t="shared" si="20"/>
        <v>5196.7880616100765</v>
      </c>
      <c r="CD25" s="135">
        <f t="shared" si="20"/>
        <v>5220.1631803062874</v>
      </c>
      <c r="CE25" s="135">
        <f t="shared" si="20"/>
        <v>5243.6494081391993</v>
      </c>
      <c r="CF25" s="135">
        <f t="shared" si="20"/>
        <v>5267.2473122047249</v>
      </c>
      <c r="CG25" s="135">
        <f t="shared" si="20"/>
        <v>5290.9574627338798</v>
      </c>
      <c r="CH25" s="135">
        <f t="shared" si="20"/>
        <v>2625.6682934157102</v>
      </c>
      <c r="CI25" s="135">
        <f t="shared" si="20"/>
        <v>2636.3655910578859</v>
      </c>
      <c r="CJ25" s="135">
        <f t="shared" si="20"/>
        <v>2647.1064708148069</v>
      </c>
      <c r="CK25" s="135">
        <f t="shared" si="20"/>
        <v>2657.8911102454031</v>
      </c>
      <c r="CL25" s="135">
        <f t="shared" si="20"/>
        <v>2668.7196876320013</v>
      </c>
      <c r="CM25" s="135">
        <f t="shared" si="20"/>
        <v>2679.5923819832738</v>
      </c>
      <c r="CN25" s="135">
        <f t="shared" si="20"/>
        <v>1835.0554195336588</v>
      </c>
      <c r="CO25" s="135">
        <f t="shared" si="20"/>
        <v>1842.5316624626937</v>
      </c>
      <c r="CP25" s="135">
        <f t="shared" si="20"/>
        <v>1850.0383645308582</v>
      </c>
      <c r="CQ25" s="135">
        <f t="shared" si="20"/>
        <v>1857.5756498324549</v>
      </c>
      <c r="CR25" s="135">
        <f t="shared" si="20"/>
        <v>1865.1436429673636</v>
      </c>
      <c r="CS25" s="135">
        <f t="shared" si="20"/>
        <v>1872.7424690430976</v>
      </c>
      <c r="CT25" s="135">
        <f t="shared" si="20"/>
        <v>1880.3722536768742</v>
      </c>
      <c r="CU25" s="135">
        <f t="shared" si="20"/>
        <v>1888.0331229976919</v>
      </c>
      <c r="CV25" s="135">
        <f t="shared" si="20"/>
        <v>1895.7252036484124</v>
      </c>
      <c r="CW25" s="135">
        <f t="shared" si="20"/>
        <v>1903.4486227878581</v>
      </c>
      <c r="CX25" s="135">
        <f t="shared" si="20"/>
        <v>1911.2035080929109</v>
      </c>
      <c r="CY25" s="135">
        <f t="shared" si="20"/>
        <v>1918.9899877606244</v>
      </c>
      <c r="CZ25" s="135">
        <f t="shared" si="20"/>
        <v>985.80884165645489</v>
      </c>
      <c r="DA25" s="135">
        <f t="shared" si="20"/>
        <v>989.82514890437835</v>
      </c>
      <c r="DB25" s="135">
        <f t="shared" si="20"/>
        <v>993.85781908518288</v>
      </c>
      <c r="DC25" s="135">
        <f t="shared" si="20"/>
        <v>997.90691886348282</v>
      </c>
      <c r="DD25" s="135">
        <f t="shared" si="20"/>
        <v>1001.9725151754917</v>
      </c>
      <c r="DE25" s="135">
        <f t="shared" si="20"/>
        <v>1006.0546752301301</v>
      </c>
      <c r="DF25" s="135">
        <f t="shared" si="20"/>
        <v>1010.1534665101358</v>
      </c>
      <c r="DG25" s="135">
        <f t="shared" si="20"/>
        <v>1014.2689567731796</v>
      </c>
      <c r="DH25" s="135">
        <f t="shared" si="20"/>
        <v>1018.4012140529854</v>
      </c>
      <c r="DI25" s="135">
        <f t="shared" si="20"/>
        <v>1022.550306660455</v>
      </c>
      <c r="DJ25" s="135">
        <f t="shared" si="20"/>
        <v>1026.7163031847972</v>
      </c>
      <c r="DK25" s="135">
        <f t="shared" si="20"/>
        <v>1030.899272494662</v>
      </c>
      <c r="DL25" s="135">
        <f t="shared" si="20"/>
        <v>0</v>
      </c>
      <c r="DM25" s="135">
        <f t="shared" si="20"/>
        <v>0</v>
      </c>
      <c r="DN25" s="135">
        <f t="shared" si="20"/>
        <v>0</v>
      </c>
      <c r="DO25" s="135">
        <f t="shared" si="20"/>
        <v>0</v>
      </c>
      <c r="DP25" s="135">
        <f t="shared" si="20"/>
        <v>0</v>
      </c>
      <c r="DQ25" s="135">
        <f t="shared" si="20"/>
        <v>0</v>
      </c>
      <c r="DR25" s="135">
        <f t="shared" si="20"/>
        <v>0</v>
      </c>
      <c r="DS25" s="135">
        <f t="shared" si="20"/>
        <v>0</v>
      </c>
      <c r="DT25" s="135">
        <f t="shared" si="20"/>
        <v>0</v>
      </c>
      <c r="DU25" s="135">
        <f t="shared" si="20"/>
        <v>0</v>
      </c>
      <c r="DV25" s="135">
        <f t="shared" si="20"/>
        <v>0</v>
      </c>
      <c r="DW25" s="135">
        <f t="shared" si="20"/>
        <v>0</v>
      </c>
      <c r="DX25" s="135">
        <f t="shared" si="20"/>
        <v>0</v>
      </c>
      <c r="DY25" s="135">
        <f t="shared" si="20"/>
        <v>0</v>
      </c>
      <c r="DZ25" s="135">
        <f t="shared" si="20"/>
        <v>0</v>
      </c>
      <c r="EA25" s="135">
        <f t="shared" si="20"/>
        <v>0</v>
      </c>
      <c r="EB25" s="135">
        <f t="shared" ref="EB25:ED25" si="21">SUM(EB26:EB30)</f>
        <v>0</v>
      </c>
      <c r="EC25" s="135">
        <f t="shared" si="21"/>
        <v>0</v>
      </c>
      <c r="ED25" s="135">
        <f t="shared" si="21"/>
        <v>0</v>
      </c>
    </row>
    <row r="26" spans="2:134" s="60" customFormat="1" ht="12.6" customHeight="1">
      <c r="B26" s="319" t="s">
        <v>420</v>
      </c>
      <c r="C26" s="320">
        <v>0</v>
      </c>
      <c r="D26" s="320">
        <v>0</v>
      </c>
      <c r="E26" s="320">
        <v>0</v>
      </c>
      <c r="F26" s="320">
        <v>0</v>
      </c>
      <c r="G26" s="320">
        <v>0</v>
      </c>
      <c r="H26" s="320">
        <v>0</v>
      </c>
      <c r="I26" s="320">
        <v>0</v>
      </c>
      <c r="J26" s="320">
        <v>0</v>
      </c>
      <c r="K26" s="320">
        <v>0</v>
      </c>
      <c r="L26" s="320">
        <v>0</v>
      </c>
      <c r="M26" s="320">
        <v>0</v>
      </c>
      <c r="N26" s="320">
        <v>0</v>
      </c>
      <c r="O26" s="320">
        <v>0</v>
      </c>
      <c r="P26" s="320">
        <v>0</v>
      </c>
      <c r="Q26" s="320">
        <v>0</v>
      </c>
      <c r="R26" s="320">
        <v>0</v>
      </c>
      <c r="S26" s="320">
        <v>0</v>
      </c>
      <c r="T26" s="320">
        <v>0</v>
      </c>
      <c r="U26" s="320">
        <v>0</v>
      </c>
      <c r="V26" s="320">
        <v>0</v>
      </c>
      <c r="W26" s="320">
        <v>0</v>
      </c>
      <c r="X26" s="320">
        <v>0</v>
      </c>
      <c r="Y26" s="320">
        <v>0</v>
      </c>
      <c r="Z26" s="320">
        <f>PPMT(Исх.данные!$D$9,Z45,Исх.данные!$D$10,-SUM($O$20:AJ20),,SUM($O$20:AJ20))</f>
        <v>1960.3703559337941</v>
      </c>
      <c r="AA26" s="320">
        <f>PPMT(Исх.данные!$D$9,AA45,Исх.данные!$D$10,-SUM($O$20:AK20),,SUM($O$20:AK20))</f>
        <v>1542.2593299632167</v>
      </c>
      <c r="AB26" s="320">
        <f>PPMT(Исх.данные!$D$9,AB45,Исх.данные!$D$10,-SUM($O$20:AL20),,SUM($O$20:AL20))</f>
        <v>1548.5426853799731</v>
      </c>
      <c r="AC26" s="320">
        <f>PPMT(Исх.данные!$D$9,AC45,Исх.данные!$D$10,-SUM($O$20:AM20),,SUM($O$20:AM20))</f>
        <v>1554.8516399644745</v>
      </c>
      <c r="AD26" s="320">
        <f>PPMT(Исх.данные!$D$9,AD45,Исх.данные!$D$10,-SUM($O$20:AN20),,SUM($O$20:AN20))</f>
        <v>1561.1862980108983</v>
      </c>
      <c r="AE26" s="320">
        <f>PPMT(Исх.данные!$D$9,AE45,Исх.данные!$D$10,-SUM($O$20:AO20),,SUM($O$20:AO20))</f>
        <v>1567.5467642383305</v>
      </c>
      <c r="AF26" s="320">
        <f>PPMT(Исх.данные!$D$9,AF45,Исх.данные!$D$10,-SUM($O$20:AP20),,SUM($O$20:AP20))</f>
        <v>1573.933143792495</v>
      </c>
      <c r="AG26" s="320">
        <f>PPMT(Исх.данные!$D$9,AG45,Исх.данные!$D$10,-SUM($O$20:AQ20),,SUM($O$20:AQ20))</f>
        <v>1580.3455422474924</v>
      </c>
      <c r="AH26" s="320">
        <f>PPMT(Исх.данные!$D$9,AH45,Исх.данные!$D$10,-SUM($O$20:AR20),,SUM($O$20:AR20))</f>
        <v>1586.7840656075455</v>
      </c>
      <c r="AI26" s="320">
        <f>PPMT(Исх.данные!$D$9,AI45,Исх.данные!$D$10,-SUM($O$20:AS20),,SUM($O$20:AS20))</f>
        <v>1593.2488203087512</v>
      </c>
      <c r="AJ26" s="320">
        <f>PPMT(Исх.данные!$D$9,AJ45,Исх.данные!$D$10,-SUM($O$20:AT20),,SUM($O$20:AT20))</f>
        <v>1599.7399132208411</v>
      </c>
      <c r="AK26" s="320">
        <f>PPMT(Исх.данные!$D$9,AK45,Исх.данные!$D$10,-SUM($O$20:AU20),,SUM($O$20:AU20))</f>
        <v>1606.2574516489458</v>
      </c>
      <c r="AL26" s="320">
        <f>PPMT(Исх.данные!$D$9,AL45,Исх.данные!$D$10,-SUM($O$20:AV20),,SUM($O$20:AV20))</f>
        <v>1612.8015433353712</v>
      </c>
      <c r="AM26" s="320">
        <f>PPMT(Исх.данные!$D$9,AM45,Исх.данные!$D$10,-SUM($O$20:AW20),,SUM($O$20:AW20))</f>
        <v>1619.3722964613783</v>
      </c>
      <c r="AN26" s="320">
        <f>PPMT(Исх.данные!$D$9,AN45,Исх.данные!$D$10,-SUM($O$20:AX20),,SUM($O$20:AX20))</f>
        <v>1625.969819648973</v>
      </c>
      <c r="AO26" s="320">
        <f>PPMT(Исх.данные!$D$9,AO45,Исх.данные!$D$10,-SUM($O$20:AY20),,SUM($O$20:AY20))</f>
        <v>1632.5942219626991</v>
      </c>
      <c r="AP26" s="320">
        <f>PPMT(Исх.данные!$D$9,AP45,Исх.данные!$D$10,-SUM($O$20:AZ20),,SUM($O$20:AZ20))</f>
        <v>1639.2456129114444</v>
      </c>
      <c r="AQ26" s="320">
        <f>PPMT(Исх.данные!$D$9,AQ45,Исх.данные!$D$10,-SUM($O$20:BA20),,SUM($O$20:BA20))</f>
        <v>1645.9241024502483</v>
      </c>
      <c r="AR26" s="320">
        <f>PPMT(Исх.данные!$D$9,AR45,Исх.данные!$D$10,-SUM($O$20:BB20),,SUM($O$20:BB20))</f>
        <v>1652.6298009821205</v>
      </c>
      <c r="AS26" s="320">
        <f>PPMT(Исх.данные!$D$9,AS45,Исх.данные!$D$10,-SUM($O$20:BC20),,SUM($O$20:BC20))</f>
        <v>1659.3628193598679</v>
      </c>
      <c r="AT26" s="320">
        <f>PPMT(Исх.данные!$D$9,AT45,Исх.данные!$D$10,-SUM($O$20:BD20),,SUM($O$20:BD20))</f>
        <v>1666.123268887924</v>
      </c>
      <c r="AU26" s="320">
        <f>PPMT(Исх.данные!$D$9,AU45,Исх.данные!$D$10,-SUM($O$20:BE20),,SUM($O$20:BE20))</f>
        <v>1672.9112613241903</v>
      </c>
      <c r="AV26" s="320">
        <f>PPMT(Исх.данные!$D$9,AV45,Исх.данные!$D$10,-SUM($O$20:BF20),,SUM($O$20:BF20))</f>
        <v>1679.7269088818841</v>
      </c>
      <c r="AW26" s="320">
        <f>PPMT(Исх.данные!$D$9,AW45,Исх.данные!$D$10,-SUM($O$20:BG20),,SUM($O$20:BG20))</f>
        <v>1686.5703242313939</v>
      </c>
      <c r="AX26" s="320">
        <f>PPMT(Исх.данные!$D$9,AX45,Исх.данные!$D$10,-SUM($O$20:BH20),,SUM($O$20:BH20))</f>
        <v>1693.4416205021407</v>
      </c>
      <c r="AY26" s="320">
        <f>PPMT(Исх.данные!$D$9,AY45,Исх.данные!$D$10,-SUM($O$20:BI20),,SUM($O$20:BI20))</f>
        <v>1700.3409112844483</v>
      </c>
      <c r="AZ26" s="320">
        <f>PPMT(Исх.данные!$D$9,AZ45,Исх.данные!$D$10,-SUM($O$20:BJ20),,SUM($O$20:BJ20))</f>
        <v>1707.2683106314225</v>
      </c>
      <c r="BA26" s="320">
        <f>PPMT(Исх.данные!$D$9,BA45,Исх.данные!$D$10,-SUM($O$20:BK20),,SUM($O$20:BK20))</f>
        <v>1714.2239330608354</v>
      </c>
      <c r="BB26" s="320">
        <f>PPMT(Исх.данные!$D$9,BB45,Исх.данные!$D$10,-SUM($O$20:BL20),,SUM($O$20:BL20))</f>
        <v>1721.2078935570175</v>
      </c>
      <c r="BC26" s="320">
        <f>PPMT(Исх.данные!$D$9,BC45,Исх.данные!$D$10,-SUM($O$20:BM20),,SUM($O$20:BM20))</f>
        <v>1728.2203075727614</v>
      </c>
      <c r="BD26" s="320">
        <f>PPMT(Исх.данные!$D$9,BD45,Исх.данные!$D$10,-SUM($O$20:BN20),,SUM($O$20:BN20))</f>
        <v>1735.2612910312278</v>
      </c>
      <c r="BE26" s="320">
        <f>PPMT(Исх.данные!$D$9,BE45,Исх.данные!$D$10,-SUM($O$20:BO20),,SUM($O$20:BO20))</f>
        <v>1742.3309603278626</v>
      </c>
      <c r="BF26" s="320">
        <f>PPMT(Исх.данные!$D$9,BF45,Исх.данные!$D$10,-SUM($O$20:BP20),,SUM($O$20:BP20))</f>
        <v>1749.4294323323211</v>
      </c>
      <c r="BG26" s="320">
        <f>PPMT(Исх.данные!$D$9,BG45,Исх.данные!$D$10,-SUM($O$20:BQ20),,SUM($O$20:BQ20))</f>
        <v>1756.5568243904006</v>
      </c>
      <c r="BH26" s="320">
        <f>PPMT(Исх.данные!$D$9,BH45,Исх.данные!$D$10,-SUM($O$20:BR20),,SUM($O$20:BR20))</f>
        <v>1763.7132543259795</v>
      </c>
      <c r="BI26" s="320">
        <f>PPMT(Исх.данные!$D$9,BI45,Исх.данные!$D$10,-SUM($O$20:BS20),,SUM($O$20:BS20))</f>
        <v>1770.8988404429649</v>
      </c>
      <c r="BJ26" s="320">
        <f>PPMT(Исх.данные!$D$9,BJ45,Исх.данные!$D$10,-SUM($O$20:BT20),,SUM($O$20:BT20))</f>
        <v>1778.1137015272486</v>
      </c>
      <c r="BK26" s="320">
        <f>PPMT(Исх.данные!$D$9,BK45,Исх.данные!$D$10,-SUM($O$20:BU20),,SUM($O$20:BU20))</f>
        <v>1785.3579568486721</v>
      </c>
      <c r="BL26" s="320">
        <f>PPMT(Исх.данные!$D$9,BL45,Исх.данные!$D$10,-SUM($O$20:BV20),,SUM($O$20:BV20))</f>
        <v>1792.6317261629949</v>
      </c>
      <c r="BM26" s="320">
        <f>PPMT(Исх.данные!$D$9,BM45,Исх.данные!$D$10,-SUM($O$20:BW20),,SUM($O$20:BW20))</f>
        <v>1799.935129713878</v>
      </c>
      <c r="BN26" s="320">
        <f>PPMT(Исх.данные!$D$9,BN45,Исх.данные!$D$10,-SUM($O$20:BX20),,SUM($O$20:BX20))</f>
        <v>1807.2682882348697</v>
      </c>
      <c r="BO26" s="320">
        <f>PPMT(Исх.данные!$D$9,BO45,Исх.данные!$D$10,-SUM($O$20:BY20),,SUM($O$20:BY20))</f>
        <v>1814.6313229514008</v>
      </c>
      <c r="BP26" s="320">
        <f>PPMT(Исх.данные!$D$9,BP45,Исх.данные!$D$10,-SUM($O$20:BZ20),,SUM($O$20:BZ20))</f>
        <v>1822.0243555827903</v>
      </c>
      <c r="BQ26" s="320">
        <f>PPMT(Исх.данные!$D$9,BQ45,Исх.данные!$D$10,-SUM($O$20:CA20),,SUM($O$20:CA20))</f>
        <v>1829.4475083442567</v>
      </c>
      <c r="BR26" s="320">
        <f>PPMT(Исх.данные!$D$9,BR45,Исх.данные!$D$10,-SUM($O$20:CB20),,SUM($O$20:CB20))</f>
        <v>1836.9009039489383</v>
      </c>
      <c r="BS26" s="320">
        <f>PPMT(Исх.данные!$D$9,BS45,Исх.данные!$D$10,-SUM($O$20:CC20),,SUM($O$20:CC20))</f>
        <v>1844.3846656099217</v>
      </c>
      <c r="BT26" s="320">
        <f>PPMT(Исх.данные!$D$9,BT45,Исх.данные!$D$10,-SUM($O$20:CD20),,SUM($O$20:CD20))</f>
        <v>1851.8989170422797</v>
      </c>
      <c r="BU26" s="320">
        <f>PPMT(Исх.данные!$D$9,BU45,Исх.данные!$D$10,-SUM($O$20:CE20),,SUM($O$20:CE20))</f>
        <v>1859.4437824651143</v>
      </c>
      <c r="BV26" s="320">
        <f>PPMT(Исх.данные!$D$9,BV45,Исх.данные!$D$10,-SUM($O$20:CF20),,SUM($O$20:CF20))</f>
        <v>1867.0193866036125</v>
      </c>
      <c r="BW26" s="320">
        <f>PPMT(Исх.данные!$D$9,BW45,Исх.данные!$D$10,-SUM($O$20:CG20),,SUM($O$20:CG20))</f>
        <v>1874.625854691107</v>
      </c>
      <c r="BX26" s="320">
        <f>PPMT(Исх.данные!$D$9,BX45,Исх.данные!$D$10,-SUM($O$20:CH20),,SUM($O$20:CH20))</f>
        <v>1882.263312471146</v>
      </c>
      <c r="BY26" s="320">
        <f>PPMT(Исх.данные!$D$9,BY45,Исх.данные!$D$10,-SUM($O$20:CI20),,SUM($O$20:CI20))</f>
        <v>1889.9318861995735</v>
      </c>
      <c r="BZ26" s="320">
        <f>PPMT(Исх.данные!$D$9,BZ45,Исх.данные!$D$10,-SUM($O$20:CJ20),,SUM($O$20:CJ20))</f>
        <v>1897.6317026466143</v>
      </c>
      <c r="CA26" s="320">
        <f>PPMT(Исх.данные!$D$9,CA45,Исх.данные!$D$10,-SUM($O$20:CK20),,SUM($O$20:CK20))</f>
        <v>1905.3628890989721</v>
      </c>
      <c r="CB26" s="320">
        <f>PPMT(Исх.данные!$D$9,CB45,Исх.данные!$D$10,-SUM($O$20:CL20),,SUM($O$20:CL20))</f>
        <v>1913.1255733619312</v>
      </c>
      <c r="CC26" s="320">
        <f>PPMT(Исх.данные!$D$9,CC45,Исх.данные!$D$10,-SUM($O$20:CM20),,SUM($O$20:CM20))</f>
        <v>1920.9198837614708</v>
      </c>
      <c r="CD26" s="320">
        <f>PPMT(Исх.данные!$D$9,CD45,Исх.данные!$D$10,-SUM($O$20:CN20),,SUM($O$20:CN20))</f>
        <v>1928.7459491463865</v>
      </c>
      <c r="CE26" s="320">
        <f>PPMT(Исх.данные!$D$9,CE45,Исх.данные!$D$10,-SUM($O$20:CO20),,SUM($O$20:CO20))</f>
        <v>1936.6038988904193</v>
      </c>
      <c r="CF26" s="320">
        <f>PPMT(Исх.данные!$D$9,CF45,Исх.данные!$D$10,-SUM($O$20:CP20),,SUM($O$20:CP20))</f>
        <v>1944.4938628943946</v>
      </c>
      <c r="CG26" s="320">
        <f>PPMT(Исх.данные!$D$9,CG45,Исх.данные!$D$10,-SUM($O$20:CQ20),,SUM($O$20:CQ20))</f>
        <v>1952.4159715883711</v>
      </c>
      <c r="CH26" s="320">
        <v>0</v>
      </c>
      <c r="CI26" s="320">
        <v>0</v>
      </c>
      <c r="CJ26" s="320">
        <v>0</v>
      </c>
      <c r="CK26" s="320">
        <v>0</v>
      </c>
      <c r="CL26" s="320">
        <v>0</v>
      </c>
      <c r="CM26" s="320">
        <v>0</v>
      </c>
      <c r="CN26" s="320">
        <v>0</v>
      </c>
      <c r="CO26" s="320">
        <v>0</v>
      </c>
      <c r="CP26" s="320">
        <v>0</v>
      </c>
      <c r="CQ26" s="320">
        <v>0</v>
      </c>
      <c r="CR26" s="320">
        <v>0</v>
      </c>
      <c r="CS26" s="320">
        <v>0</v>
      </c>
      <c r="CT26" s="320">
        <v>0</v>
      </c>
      <c r="CU26" s="320">
        <v>0</v>
      </c>
      <c r="CV26" s="320">
        <v>0</v>
      </c>
      <c r="CW26" s="320">
        <v>0</v>
      </c>
      <c r="CX26" s="320">
        <v>0</v>
      </c>
      <c r="CY26" s="320">
        <v>0</v>
      </c>
      <c r="CZ26" s="320">
        <v>0</v>
      </c>
      <c r="DA26" s="320">
        <v>0</v>
      </c>
      <c r="DB26" s="320">
        <v>0</v>
      </c>
      <c r="DC26" s="320">
        <v>0</v>
      </c>
      <c r="DD26" s="320">
        <v>0</v>
      </c>
      <c r="DE26" s="320">
        <v>0</v>
      </c>
      <c r="DF26" s="320">
        <v>0</v>
      </c>
      <c r="DG26" s="320">
        <v>0</v>
      </c>
      <c r="DH26" s="320">
        <v>0</v>
      </c>
      <c r="DI26" s="320">
        <v>0</v>
      </c>
      <c r="DJ26" s="320">
        <v>0</v>
      </c>
      <c r="DK26" s="320">
        <v>0</v>
      </c>
      <c r="DL26" s="320">
        <v>0</v>
      </c>
      <c r="DM26" s="320">
        <v>0</v>
      </c>
      <c r="DN26" s="320">
        <v>0</v>
      </c>
      <c r="DO26" s="320">
        <v>0</v>
      </c>
      <c r="DP26" s="320">
        <v>0</v>
      </c>
      <c r="DQ26" s="320">
        <v>0</v>
      </c>
      <c r="DR26" s="320">
        <v>0</v>
      </c>
      <c r="DS26" s="320">
        <v>0</v>
      </c>
      <c r="DT26" s="320">
        <v>0</v>
      </c>
      <c r="DU26" s="320">
        <v>0</v>
      </c>
      <c r="DV26" s="320">
        <v>0</v>
      </c>
      <c r="DW26" s="320">
        <v>0</v>
      </c>
      <c r="DX26" s="320">
        <v>0</v>
      </c>
      <c r="DY26" s="320">
        <v>0</v>
      </c>
      <c r="DZ26" s="320">
        <v>0</v>
      </c>
      <c r="EA26" s="320">
        <v>0</v>
      </c>
      <c r="EB26" s="320">
        <v>0</v>
      </c>
      <c r="EC26" s="320">
        <v>0</v>
      </c>
      <c r="ED26" s="320">
        <v>0</v>
      </c>
    </row>
    <row r="27" spans="2:134" s="60" customFormat="1" ht="12.6" customHeight="1">
      <c r="B27" s="319" t="s">
        <v>421</v>
      </c>
      <c r="C27" s="320">
        <v>0</v>
      </c>
      <c r="D27" s="320">
        <v>0</v>
      </c>
      <c r="E27" s="320">
        <v>0</v>
      </c>
      <c r="F27" s="320">
        <v>0</v>
      </c>
      <c r="G27" s="320">
        <v>0</v>
      </c>
      <c r="H27" s="320">
        <v>0</v>
      </c>
      <c r="I27" s="320">
        <v>0</v>
      </c>
      <c r="J27" s="320">
        <v>0</v>
      </c>
      <c r="K27" s="320">
        <v>0</v>
      </c>
      <c r="L27" s="320">
        <v>0</v>
      </c>
      <c r="M27" s="320">
        <v>0</v>
      </c>
      <c r="N27" s="320">
        <v>0</v>
      </c>
      <c r="O27" s="320">
        <v>0</v>
      </c>
      <c r="P27" s="320">
        <v>0</v>
      </c>
      <c r="Q27" s="320">
        <v>0</v>
      </c>
      <c r="R27" s="320">
        <v>0</v>
      </c>
      <c r="S27" s="320">
        <v>0</v>
      </c>
      <c r="T27" s="320">
        <v>0</v>
      </c>
      <c r="U27" s="320">
        <v>0</v>
      </c>
      <c r="V27" s="320">
        <v>0</v>
      </c>
      <c r="W27" s="320">
        <v>0</v>
      </c>
      <c r="X27" s="320">
        <v>0</v>
      </c>
      <c r="Y27" s="320">
        <v>0</v>
      </c>
      <c r="Z27" s="320">
        <v>0</v>
      </c>
      <c r="AA27" s="320">
        <v>0</v>
      </c>
      <c r="AB27" s="320">
        <v>0</v>
      </c>
      <c r="AC27" s="320">
        <v>0</v>
      </c>
      <c r="AD27" s="320">
        <v>0</v>
      </c>
      <c r="AE27" s="320">
        <v>0</v>
      </c>
      <c r="AF27" s="320">
        <f>PPMT(Исх.данные!$D$9,AF46,Исх.данные!$D$10,-SUM($AF$21:AJ21),,SUM($AF$21:AJ21))</f>
        <v>855.4539535035359</v>
      </c>
      <c r="AG27" s="320">
        <f>PPMT(Исх.данные!$D$9,AG46,Исх.данные!$D$10,-SUM($AF$21:AK21),,SUM($AF$21:AK21))</f>
        <v>673.00132199576296</v>
      </c>
      <c r="AH27" s="320">
        <f>PPMT(Исх.данные!$D$9,AH46,Исх.данные!$D$10,-SUM($AF$21:AL21),,SUM($AF$21:AL21))</f>
        <v>675.74321268813276</v>
      </c>
      <c r="AI27" s="320">
        <f>PPMT(Исх.данные!$D$9,AI46,Исх.данные!$D$10,-SUM($AF$21:AM21),,SUM($AF$21:AM21))</f>
        <v>678.49627418258433</v>
      </c>
      <c r="AJ27" s="320">
        <f>PPMT(Исх.данные!$D$9,AJ46,Исх.данные!$D$10,-SUM($AF$21:AN21),,SUM($AF$21:AN21))</f>
        <v>681.26055199034852</v>
      </c>
      <c r="AK27" s="320">
        <f>PPMT(Исх.данные!$D$9,AK46,Исх.данные!$D$10,-SUM($AF$21:AO21),,SUM($AF$21:AO21))</f>
        <v>684.03609180807371</v>
      </c>
      <c r="AL27" s="320">
        <f>PPMT(Исх.данные!$D$9,AL46,Исх.данные!$D$10,-SUM($AF$21:AP21),,SUM($AF$21:AP21))</f>
        <v>686.82293951858287</v>
      </c>
      <c r="AM27" s="320">
        <f>PPMT(Исх.данные!$D$9,AM46,Исх.данные!$D$10,-SUM($AF$21:AQ21),,SUM($AF$21:AQ21))</f>
        <v>689.62114119163084</v>
      </c>
      <c r="AN27" s="320">
        <f>PPMT(Исх.данные!$D$9,AN46,Исх.данные!$D$10,-SUM($AF$21:AR21),,SUM($AF$21:AR21))</f>
        <v>692.43074308466635</v>
      </c>
      <c r="AO27" s="320">
        <f>PPMT(Исх.данные!$D$9,AO46,Исх.данные!$D$10,-SUM($AF$21:AS21),,SUM($AF$21:AS21))</f>
        <v>695.2517916435969</v>
      </c>
      <c r="AP27" s="320">
        <f>PPMT(Исх.данные!$D$9,AP46,Исх.данные!$D$10,-SUM($AF$21:AT21),,SUM($AF$21:AT21))</f>
        <v>698.08433350355619</v>
      </c>
      <c r="AQ27" s="320">
        <f>PPMT(Исх.данные!$D$9,AQ46,Исх.данные!$D$10,-SUM($AF$21:AU21),,SUM($AF$21:AU21))</f>
        <v>700.92841548967533</v>
      </c>
      <c r="AR27" s="320">
        <f>PPMT(Исх.данные!$D$9,AR46,Исх.данные!$D$10,-SUM($AF$21:AV21),,SUM($AF$21:AV21))</f>
        <v>703.78408461785682</v>
      </c>
      <c r="AS27" s="320">
        <f>PPMT(Исх.данные!$D$9,AS46,Исх.данные!$D$10,-SUM($AF$21:AW21),,SUM($AF$21:AW21))</f>
        <v>706.65138809555162</v>
      </c>
      <c r="AT27" s="320">
        <f>PPMT(Исх.данные!$D$9,AT46,Исх.данные!$D$10,-SUM($AF$21:AX21),,SUM($AF$21:AX21))</f>
        <v>709.53037332253984</v>
      </c>
      <c r="AU27" s="320">
        <f>PPMT(Исх.данные!$D$9,AU46,Исх.данные!$D$10,-SUM($AF$21:AY21),,SUM($AF$21:AY21))</f>
        <v>712.42108789171402</v>
      </c>
      <c r="AV27" s="320">
        <f>PPMT(Исх.данные!$D$9,AV46,Исх.данные!$D$10,-SUM($AF$21:AZ21),,SUM($AF$21:AZ21))</f>
        <v>715.32357958986631</v>
      </c>
      <c r="AW27" s="320">
        <f>PPMT(Исх.данные!$D$9,AW46,Исх.данные!$D$10,-SUM($AF$21:BA21),,SUM($AF$21:BA21))</f>
        <v>718.2378963984778</v>
      </c>
      <c r="AX27" s="320">
        <f>PPMT(Исх.данные!$D$9,AX46,Исх.данные!$D$10,-SUM($AF$21:BB21),,SUM($AF$21:BB21))</f>
        <v>721.16408649451239</v>
      </c>
      <c r="AY27" s="320">
        <f>PPMT(Исх.данные!$D$9,AY46,Исх.данные!$D$10,-SUM($AF$21:BC21),,SUM($AF$21:BC21))</f>
        <v>724.10219825121283</v>
      </c>
      <c r="AZ27" s="320">
        <f>PPMT(Исх.данные!$D$9,AZ46,Исх.данные!$D$10,-SUM($AF$21:BD21),,SUM($AF$21:BD21))</f>
        <v>727.05228023890015</v>
      </c>
      <c r="BA27" s="320">
        <f>PPMT(Исх.данные!$D$9,BA46,Исх.данные!$D$10,-SUM($AF$21:BE21),,SUM($AF$21:BE21))</f>
        <v>730.01438122577724</v>
      </c>
      <c r="BB27" s="320">
        <f>PPMT(Исх.данные!$D$9,BB46,Исх.данные!$D$10,-SUM($AF$21:BF21),,SUM($AF$21:BF21))</f>
        <v>732.98855017873439</v>
      </c>
      <c r="BC27" s="320">
        <f>PPMT(Исх.данные!$D$9,BC46,Исх.данные!$D$10,-SUM($AF$21:BG21),,SUM($AF$21:BG21))</f>
        <v>735.97483626415965</v>
      </c>
      <c r="BD27" s="320">
        <f>PPMT(Исх.данные!$D$9,BD46,Исх.данные!$D$10,-SUM($AF$21:BH21),,SUM($AF$21:BH21))</f>
        <v>738.97328884875003</v>
      </c>
      <c r="BE27" s="320">
        <f>PPMT(Исх.данные!$D$9,BE46,Исх.данные!$D$10,-SUM($AF$21:BI21),,SUM($AF$21:BI21))</f>
        <v>741.98395750032967</v>
      </c>
      <c r="BF27" s="320">
        <f>PPMT(Исх.данные!$D$9,BF46,Исх.данные!$D$10,-SUM($AF$21:BJ21),,SUM($AF$21:BJ21))</f>
        <v>745.00689198866723</v>
      </c>
      <c r="BG27" s="320">
        <f>PPMT(Исх.данные!$D$9,BG46,Исх.данные!$D$10,-SUM($AF$21:BK21),,SUM($AF$21:BK21))</f>
        <v>748.0421422863003</v>
      </c>
      <c r="BH27" s="320">
        <f>PPMT(Исх.данные!$D$9,BH46,Исх.данные!$D$10,-SUM($AF$21:BL21),,SUM($AF$21:BL21))</f>
        <v>751.08975856936013</v>
      </c>
      <c r="BI27" s="320">
        <f>PPMT(Исх.данные!$D$9,BI46,Исх.данные!$D$10,-SUM($AF$21:BM21),,SUM($AF$21:BM21))</f>
        <v>754.14979121840224</v>
      </c>
      <c r="BJ27" s="320">
        <f>PPMT(Исх.данные!$D$9,BJ46,Исх.данные!$D$10,-SUM($AF$21:BN21),,SUM($AF$21:BN21))</f>
        <v>757.22229081923854</v>
      </c>
      <c r="BK27" s="320">
        <f>PPMT(Исх.данные!$D$9,BK46,Исх.данные!$D$10,-SUM($AF$21:BO21),,SUM($AF$21:BO21))</f>
        <v>760.30730816377388</v>
      </c>
      <c r="BL27" s="320">
        <f>PPMT(Исх.данные!$D$9,BL46,Исх.данные!$D$10,-SUM($AF$21:BP21),,SUM($AF$21:BP21))</f>
        <v>763.40489425084559</v>
      </c>
      <c r="BM27" s="320">
        <f>PPMT(Исх.данные!$D$9,BM46,Исх.данные!$D$10,-SUM($AF$21:BQ21),,SUM($AF$21:BQ21))</f>
        <v>766.5151002870665</v>
      </c>
      <c r="BN27" s="320">
        <f>PPMT(Исх.данные!$D$9,BN46,Исх.данные!$D$10,-SUM($AF$21:BR21),,SUM($AF$21:BR21))</f>
        <v>769.63797768767176</v>
      </c>
      <c r="BO27" s="320">
        <f>PPMT(Исх.данные!$D$9,BO46,Исх.данные!$D$10,-SUM($AF$21:BS21),,SUM($AF$21:BS21))</f>
        <v>772.77357807736803</v>
      </c>
      <c r="BP27" s="320">
        <f>PPMT(Исх.данные!$D$9,BP46,Исх.данные!$D$10,-SUM($AF$21:BT21),,SUM($AF$21:BT21))</f>
        <v>775.92195329118806</v>
      </c>
      <c r="BQ27" s="320">
        <f>PPMT(Исх.данные!$D$9,BQ46,Исх.данные!$D$10,-SUM($AF$21:BU21),,SUM($AF$21:BU21))</f>
        <v>779.08315537534668</v>
      </c>
      <c r="BR27" s="320">
        <f>PPMT(Исх.данные!$D$9,BR46,Исх.данные!$D$10,-SUM($AF$21:BV21),,SUM($AF$21:BV21))</f>
        <v>782.25723658810102</v>
      </c>
      <c r="BS27" s="320">
        <f>PPMT(Исх.данные!$D$9,BS46,Исх.данные!$D$10,-SUM($AF$21:BW21),,SUM($AF$21:BW21))</f>
        <v>785.44424940061572</v>
      </c>
      <c r="BT27" s="320">
        <f>PPMT(Исх.данные!$D$9,BT46,Исх.данные!$D$10,-SUM($AF$21:BX21),,SUM($AF$21:BX21))</f>
        <v>788.6442464978287</v>
      </c>
      <c r="BU27" s="320">
        <f>PPMT(Исх.данные!$D$9,BU46,Исх.данные!$D$10,-SUM($AF$21:BY21),,SUM($AF$21:BY21))</f>
        <v>791.85728077932288</v>
      </c>
      <c r="BV27" s="320">
        <f>PPMT(Исх.данные!$D$9,BV46,Исх.данные!$D$10,-SUM($AF$21:BZ21),,SUM($AF$21:BZ21))</f>
        <v>795.08340536020103</v>
      </c>
      <c r="BW27" s="320">
        <f>PPMT(Исх.данные!$D$9,BW46,Исх.данные!$D$10,-SUM($AF$21:CA21),,SUM($AF$21:CA21))</f>
        <v>798.32267357196315</v>
      </c>
      <c r="BX27" s="320">
        <f>PPMT(Исх.данные!$D$9,BX46,Исх.данные!$D$10,-SUM($AF$21:CB21),,SUM($AF$21:CB21))</f>
        <v>801.57513896338833</v>
      </c>
      <c r="BY27" s="320">
        <f>PPMT(Исх.данные!$D$9,BY46,Исх.данные!$D$10,-SUM($AF$21:CC21),,SUM($AF$21:CC21))</f>
        <v>804.84085530142033</v>
      </c>
      <c r="BZ27" s="320">
        <f>PPMT(Исх.данные!$D$9,BZ46,Исх.данные!$D$10,-SUM($AF$21:CD21),,SUM($AF$21:CD21))</f>
        <v>808.11987657205577</v>
      </c>
      <c r="CA27" s="320">
        <f>PPMT(Исх.данные!$D$9,CA46,Исх.данные!$D$10,-SUM($AF$21:CE21),,SUM($AF$21:CE21))</f>
        <v>811.41225698123696</v>
      </c>
      <c r="CB27" s="320">
        <f>PPMT(Исх.данные!$D$9,CB46,Исх.данные!$D$10,-SUM($AF$21:CF21),,SUM($AF$21:CF21))</f>
        <v>814.71805095574803</v>
      </c>
      <c r="CC27" s="320">
        <f>PPMT(Исх.данные!$D$9,CC46,Исх.данные!$D$10,-SUM($AF$21:CG21),,SUM($AF$21:CG21))</f>
        <v>818.03731314411448</v>
      </c>
      <c r="CD27" s="320">
        <f>PPMT(Исх.данные!$D$9,CD46,Исх.данные!$D$10,-SUM($AF$21:CH21),,SUM($AF$21:CH21))</f>
        <v>821.37009841750671</v>
      </c>
      <c r="CE27" s="320">
        <f>PPMT(Исх.данные!$D$9,CE46,Исх.данные!$D$10,-SUM($AF$21:CI21),,SUM($AF$21:CI21))</f>
        <v>824.71646187064709</v>
      </c>
      <c r="CF27" s="320">
        <f>PPMT(Исх.данные!$D$9,CF46,Исх.данные!$D$10,-SUM($AF$21:CJ21),,SUM($AF$21:CJ21))</f>
        <v>828.07645882272061</v>
      </c>
      <c r="CG27" s="320">
        <f>PPMT(Исх.данные!$D$9,CG46,Исх.данные!$D$10,-SUM($AF$21:CK21),,SUM($AF$21:CK21))</f>
        <v>831.45014481828957</v>
      </c>
      <c r="CH27" s="320">
        <f>PPMT(Исх.данные!$D$9,CH46,Исх.данные!$D$10,-SUM($AF$21:CL21),,SUM($AF$21:CL21))</f>
        <v>834.83757562821165</v>
      </c>
      <c r="CI27" s="320">
        <f>PPMT(Исх.данные!$D$9,CI46,Исх.данные!$D$10,-SUM($AF$21:CM21),,SUM($AF$21:CM21))</f>
        <v>838.23880725056176</v>
      </c>
      <c r="CJ27" s="320">
        <f>PPMT(Исх.данные!$D$9,CJ46,Исх.данные!$D$10,-SUM($AF$21:CN21),,SUM($AF$21:CN21))</f>
        <v>841.65389591155838</v>
      </c>
      <c r="CK27" s="320">
        <f>PPMT(Исх.данные!$D$9,CK46,Исх.данные!$D$10,-SUM($AF$21:CO21),,SUM($AF$21:CO21))</f>
        <v>845.08289806649191</v>
      </c>
      <c r="CL27" s="320">
        <f>PPMT(Исх.данные!$D$9,CL46,Исх.данные!$D$10,-SUM($AF$21:CP21),,SUM($AF$21:CP21))</f>
        <v>848.52587040065907</v>
      </c>
      <c r="CM27" s="320">
        <f>PPMT(Исх.данные!$D$9,CM46,Исх.данные!$D$10,-SUM($AF$21:CQ21),,SUM($AF$21:CQ21))</f>
        <v>851.98286983029925</v>
      </c>
      <c r="CN27" s="320">
        <v>0</v>
      </c>
      <c r="CO27" s="320">
        <v>0</v>
      </c>
      <c r="CP27" s="320">
        <v>0</v>
      </c>
      <c r="CQ27" s="320">
        <v>0</v>
      </c>
      <c r="CR27" s="320">
        <v>0</v>
      </c>
      <c r="CS27" s="320">
        <v>0</v>
      </c>
      <c r="CT27" s="320">
        <v>0</v>
      </c>
      <c r="CU27" s="320">
        <v>0</v>
      </c>
      <c r="CV27" s="320">
        <v>0</v>
      </c>
      <c r="CW27" s="320">
        <v>0</v>
      </c>
      <c r="CX27" s="320">
        <v>0</v>
      </c>
      <c r="CY27" s="320">
        <v>0</v>
      </c>
      <c r="CZ27" s="320">
        <v>0</v>
      </c>
      <c r="DA27" s="320">
        <v>0</v>
      </c>
      <c r="DB27" s="320">
        <v>0</v>
      </c>
      <c r="DC27" s="320">
        <v>0</v>
      </c>
      <c r="DD27" s="320">
        <v>0</v>
      </c>
      <c r="DE27" s="320">
        <v>0</v>
      </c>
      <c r="DF27" s="320">
        <v>0</v>
      </c>
      <c r="DG27" s="320">
        <v>0</v>
      </c>
      <c r="DH27" s="320">
        <v>0</v>
      </c>
      <c r="DI27" s="320">
        <v>0</v>
      </c>
      <c r="DJ27" s="320">
        <v>0</v>
      </c>
      <c r="DK27" s="320">
        <v>0</v>
      </c>
      <c r="DL27" s="320">
        <v>0</v>
      </c>
      <c r="DM27" s="320">
        <v>0</v>
      </c>
      <c r="DN27" s="320">
        <v>0</v>
      </c>
      <c r="DO27" s="320">
        <v>0</v>
      </c>
      <c r="DP27" s="320">
        <v>0</v>
      </c>
      <c r="DQ27" s="320">
        <v>0</v>
      </c>
      <c r="DR27" s="320">
        <v>0</v>
      </c>
      <c r="DS27" s="320">
        <v>0</v>
      </c>
      <c r="DT27" s="320">
        <v>0</v>
      </c>
      <c r="DU27" s="320">
        <v>0</v>
      </c>
      <c r="DV27" s="320">
        <v>0</v>
      </c>
      <c r="DW27" s="320">
        <v>0</v>
      </c>
      <c r="DX27" s="320">
        <v>0</v>
      </c>
      <c r="DY27" s="320">
        <v>0</v>
      </c>
      <c r="DZ27" s="320">
        <v>0</v>
      </c>
      <c r="EA27" s="320">
        <v>0</v>
      </c>
      <c r="EB27" s="320">
        <v>0</v>
      </c>
      <c r="EC27" s="320">
        <v>0</v>
      </c>
      <c r="ED27" s="320">
        <v>0</v>
      </c>
    </row>
    <row r="28" spans="2:134" s="60" customFormat="1" ht="12.6" customHeight="1">
      <c r="B28" s="319" t="s">
        <v>422</v>
      </c>
      <c r="C28" s="320">
        <v>0</v>
      </c>
      <c r="D28" s="320">
        <v>0</v>
      </c>
      <c r="E28" s="320">
        <v>0</v>
      </c>
      <c r="F28" s="320">
        <v>0</v>
      </c>
      <c r="G28" s="320">
        <v>0</v>
      </c>
      <c r="H28" s="320">
        <v>0</v>
      </c>
      <c r="I28" s="320">
        <v>0</v>
      </c>
      <c r="J28" s="320">
        <v>0</v>
      </c>
      <c r="K28" s="320">
        <v>0</v>
      </c>
      <c r="L28" s="320">
        <v>0</v>
      </c>
      <c r="M28" s="320">
        <v>0</v>
      </c>
      <c r="N28" s="320">
        <v>0</v>
      </c>
      <c r="O28" s="320">
        <v>0</v>
      </c>
      <c r="P28" s="320">
        <v>0</v>
      </c>
      <c r="Q28" s="320">
        <v>0</v>
      </c>
      <c r="R28" s="320">
        <v>0</v>
      </c>
      <c r="S28" s="320">
        <v>0</v>
      </c>
      <c r="T28" s="320">
        <v>0</v>
      </c>
      <c r="U28" s="320">
        <v>0</v>
      </c>
      <c r="V28" s="320">
        <v>0</v>
      </c>
      <c r="W28" s="320">
        <v>0</v>
      </c>
      <c r="X28" s="320">
        <v>0</v>
      </c>
      <c r="Y28" s="320">
        <v>0</v>
      </c>
      <c r="Z28" s="320">
        <v>0</v>
      </c>
      <c r="AA28" s="320">
        <v>0</v>
      </c>
      <c r="AB28" s="320">
        <v>0</v>
      </c>
      <c r="AC28" s="320">
        <v>0</v>
      </c>
      <c r="AD28" s="320">
        <v>0</v>
      </c>
      <c r="AE28" s="320">
        <v>0</v>
      </c>
      <c r="AF28" s="320">
        <v>0</v>
      </c>
      <c r="AG28" s="320">
        <v>0</v>
      </c>
      <c r="AH28" s="320">
        <v>0</v>
      </c>
      <c r="AI28" s="320">
        <v>0</v>
      </c>
      <c r="AJ28" s="320">
        <v>0</v>
      </c>
      <c r="AK28" s="320">
        <v>0</v>
      </c>
      <c r="AL28" s="320">
        <v>0</v>
      </c>
      <c r="AM28" s="320">
        <v>0</v>
      </c>
      <c r="AN28" s="320">
        <v>0</v>
      </c>
      <c r="AO28" s="320">
        <v>0</v>
      </c>
      <c r="AP28" s="320">
        <v>0</v>
      </c>
      <c r="AQ28" s="320">
        <v>0</v>
      </c>
      <c r="AR28" s="320">
        <f>PPMT(Исх.данные!$D$9,AR47,Исх.данные!$D$10,-SUM($AR$22:AV22),,SUM($AR$22:AV22))</f>
        <v>940.99934885388802</v>
      </c>
      <c r="AS28" s="320">
        <f>PPMT(Исх.данные!$D$9,AS47,Исх.данные!$D$10,-SUM($AR$22:AW22),,SUM($AR$22:AW22))</f>
        <v>740.30145419533812</v>
      </c>
      <c r="AT28" s="320">
        <f>PPMT(Исх.данные!$D$9,AT47,Исх.данные!$D$10,-SUM($AR$22:AX22),,SUM($AR$22:AX22))</f>
        <v>743.31753395694477</v>
      </c>
      <c r="AU28" s="320">
        <f>PPMT(Исх.данные!$D$9,AU47,Исх.данные!$D$10,-SUM($AR$22:AY22),,SUM($AR$22:AY22))</f>
        <v>746.34590160084167</v>
      </c>
      <c r="AV28" s="320">
        <f>PPMT(Исх.данные!$D$9,AV47,Исх.данные!$D$10,-SUM($AR$22:AZ22),,SUM($AR$22:AZ22))</f>
        <v>749.38660718938206</v>
      </c>
      <c r="AW28" s="320">
        <f>PPMT(Исх.данные!$D$9,AW47,Исх.данные!$D$10,-SUM($AR$22:BA22),,SUM($AR$22:BA22))</f>
        <v>752.43970098887985</v>
      </c>
      <c r="AX28" s="320">
        <f>PPMT(Исх.данные!$D$9,AX47,Исх.данные!$D$10,-SUM($AR$22:BB22),,SUM($AR$22:BB22))</f>
        <v>755.50523347043998</v>
      </c>
      <c r="AY28" s="320">
        <f>PPMT(Исх.данные!$D$9,AY47,Исх.данные!$D$10,-SUM($AR$22:BC22),,SUM($AR$22:BC22))</f>
        <v>758.58325531079265</v>
      </c>
      <c r="AZ28" s="320">
        <f>PPMT(Исх.данные!$D$9,AZ47,Исх.данные!$D$10,-SUM($AR$22:BD22),,SUM($AR$22:BD22))</f>
        <v>761.6738173931318</v>
      </c>
      <c r="BA28" s="320">
        <f>PPMT(Исх.данные!$D$9,BA47,Исх.данные!$D$10,-SUM($AR$22:BE22),,SUM($AR$22:BE22))</f>
        <v>764.77697080795531</v>
      </c>
      <c r="BB28" s="320">
        <f>PPMT(Исх.данные!$D$9,BB47,Исх.данные!$D$10,-SUM($AR$22:BF22),,SUM($AR$22:BF22))</f>
        <v>767.89276685391064</v>
      </c>
      <c r="BC28" s="320">
        <f>PPMT(Исх.данные!$D$9,BC47,Исх.данные!$D$10,-SUM($AR$22:BG22),,SUM($AR$22:BG22))</f>
        <v>771.02125703864158</v>
      </c>
      <c r="BD28" s="320">
        <f>PPMT(Исх.данные!$D$9,BD47,Исх.данные!$D$10,-SUM($AR$22:BH22),,SUM($AR$22:BH22))</f>
        <v>774.16249307964131</v>
      </c>
      <c r="BE28" s="320">
        <f>PPMT(Исх.данные!$D$9,BE47,Исх.данные!$D$10,-SUM($AR$22:BI22),,SUM($AR$22:BI22))</f>
        <v>777.31652690510543</v>
      </c>
      <c r="BF28" s="320">
        <f>PPMT(Исх.данные!$D$9,BF47,Исх.данные!$D$10,-SUM($AR$22:BJ22),,SUM($AR$22:BJ22))</f>
        <v>780.48341065479246</v>
      </c>
      <c r="BG28" s="320">
        <f>PPMT(Исх.данные!$D$9,BG47,Исх.данные!$D$10,-SUM($AR$22:BK22),,SUM($AR$22:BK22))</f>
        <v>783.6631966808842</v>
      </c>
      <c r="BH28" s="320">
        <f>PPMT(Исх.данные!$D$9,BH47,Исх.данные!$D$10,-SUM($AR$22:BL22),,SUM($AR$22:BL22))</f>
        <v>786.85593754885167</v>
      </c>
      <c r="BI28" s="320">
        <f>PPMT(Исх.данные!$D$9,BI47,Исх.данные!$D$10,-SUM($AR$22:BM22),,SUM($AR$22:BM22))</f>
        <v>790.0616860383243</v>
      </c>
      <c r="BJ28" s="320">
        <f>PPMT(Исх.данные!$D$9,BJ47,Исх.данные!$D$10,-SUM($AR$22:BN22),,SUM($AR$22:BN22))</f>
        <v>793.28049514396241</v>
      </c>
      <c r="BK28" s="320">
        <f>PPMT(Исх.данные!$D$9,BK47,Исх.данные!$D$10,-SUM($AR$22:BO22),,SUM($AR$22:BO22))</f>
        <v>796.51241807633278</v>
      </c>
      <c r="BL28" s="320">
        <f>PPMT(Исх.данные!$D$9,BL47,Исх.данные!$D$10,-SUM($AR$22:BP22),,SUM($AR$22:BP22))</f>
        <v>799.75750826278897</v>
      </c>
      <c r="BM28" s="320">
        <f>PPMT(Исх.данные!$D$9,BM47,Исх.данные!$D$10,-SUM($AR$22:BQ22),,SUM($AR$22:BQ22))</f>
        <v>803.0158193483536</v>
      </c>
      <c r="BN28" s="320">
        <f>PPMT(Исх.данные!$D$9,BN47,Исх.данные!$D$10,-SUM($AR$22:BR22),,SUM($AR$22:BR22))</f>
        <v>806.28740519660664</v>
      </c>
      <c r="BO28" s="320">
        <f>PPMT(Исх.данные!$D$9,BO47,Исх.данные!$D$10,-SUM($AR$22:BS22),,SUM($AR$22:BS22))</f>
        <v>809.57231989057425</v>
      </c>
      <c r="BP28" s="320">
        <f>PPMT(Исх.данные!$D$9,BP47,Исх.данные!$D$10,-SUM($AR$22:BT22),,SUM($AR$22:BT22))</f>
        <v>812.87061773362382</v>
      </c>
      <c r="BQ28" s="320">
        <f>PPMT(Исх.данные!$D$9,BQ47,Исх.данные!$D$10,-SUM($AR$22:BU22),,SUM($AR$22:BU22))</f>
        <v>816.1823532503613</v>
      </c>
      <c r="BR28" s="320">
        <f>PPMT(Исх.данные!$D$9,BR47,Исх.данные!$D$10,-SUM($AR$22:BV22),,SUM($AR$22:BV22))</f>
        <v>819.50758118753265</v>
      </c>
      <c r="BS28" s="320">
        <f>PPMT(Исх.данные!$D$9,BS47,Исх.данные!$D$10,-SUM($AR$22:BW22),,SUM($AR$22:BW22))</f>
        <v>822.84635651492897</v>
      </c>
      <c r="BT28" s="320">
        <f>PPMT(Исх.данные!$D$9,BT47,Исх.данные!$D$10,-SUM($AR$22:BX22),,SUM($AR$22:BX22))</f>
        <v>826.19873442629478</v>
      </c>
      <c r="BU28" s="320">
        <f>PPMT(Исх.данные!$D$9,BU47,Исх.данные!$D$10,-SUM($AR$22:BY22),,SUM($AR$22:BY22))</f>
        <v>829.56477034024113</v>
      </c>
      <c r="BV28" s="320">
        <f>PPMT(Исх.данные!$D$9,BV47,Исх.данные!$D$10,-SUM($AR$22:BZ22),,SUM($AR$22:BZ22))</f>
        <v>832.94451990116113</v>
      </c>
      <c r="BW28" s="320">
        <f>PPMT(Исх.данные!$D$9,BW47,Исх.данные!$D$10,-SUM($AR$22:CA22),,SUM($AR$22:CA22))</f>
        <v>836.33803898014992</v>
      </c>
      <c r="BX28" s="320">
        <f>PPMT(Исх.данные!$D$9,BX47,Исх.данные!$D$10,-SUM($AR$22:CB22),,SUM($AR$22:CB22))</f>
        <v>839.74538367592879</v>
      </c>
      <c r="BY28" s="320">
        <f>PPMT(Исх.данные!$D$9,BY47,Исх.данные!$D$10,-SUM($AR$22:CC22),,SUM($AR$22:CC22))</f>
        <v>843.16661031577178</v>
      </c>
      <c r="BZ28" s="320">
        <f>PPMT(Исх.данные!$D$9,BZ47,Исх.данные!$D$10,-SUM($AR$22:CD22),,SUM($AR$22:CD22))</f>
        <v>846.60177545643751</v>
      </c>
      <c r="CA28" s="320">
        <f>PPMT(Исх.данные!$D$9,CA47,Исх.данные!$D$10,-SUM($AR$22:CE22),,SUM($AR$22:CE22))</f>
        <v>850.0509358851034</v>
      </c>
      <c r="CB28" s="320">
        <f>PPMT(Исх.данные!$D$9,CB47,Исх.данные!$D$10,-SUM($AR$22:CF22),,SUM($AR$22:CF22))</f>
        <v>853.51414862030549</v>
      </c>
      <c r="CC28" s="320">
        <f>PPMT(Исх.данные!$D$9,CC47,Исх.данные!$D$10,-SUM($AR$22:CG22),,SUM($AR$22:CG22))</f>
        <v>856.99147091288</v>
      </c>
      <c r="CD28" s="320">
        <f>PPMT(Исх.данные!$D$9,CD47,Исх.данные!$D$10,-SUM($AR$22:CH22),,SUM($AR$22:CH22))</f>
        <v>860.48296024690978</v>
      </c>
      <c r="CE28" s="320">
        <f>PPMT(Исх.данные!$D$9,CE47,Исх.данные!$D$10,-SUM($AR$22:CI22),,SUM($AR$22:CI22))</f>
        <v>863.98867434067586</v>
      </c>
      <c r="CF28" s="320">
        <f>PPMT(Исх.данные!$D$9,CF47,Исх.данные!$D$10,-SUM($AR$22:CJ22),,SUM($AR$22:CJ22))</f>
        <v>867.50867114761013</v>
      </c>
      <c r="CG28" s="320">
        <f>PPMT(Исх.данные!$D$9,CG47,Исх.данные!$D$10,-SUM($AR$22:CK22),,SUM($AR$22:CK22))</f>
        <v>871.04300885725377</v>
      </c>
      <c r="CH28" s="320">
        <f>PPMT(Исх.данные!$D$9,CH47,Исх.данные!$D$10,-SUM($AR$22:CL22),,SUM($AR$22:CL22))</f>
        <v>874.59174589621978</v>
      </c>
      <c r="CI28" s="320">
        <f>PPMT(Исх.данные!$D$9,CI47,Исх.данные!$D$10,-SUM($AR$22:CM22),,SUM($AR$22:CM22))</f>
        <v>878.15494092915799</v>
      </c>
      <c r="CJ28" s="320">
        <f>PPMT(Исх.данные!$D$9,CJ47,Исх.данные!$D$10,-SUM($AR$22:CN22),,SUM($AR$22:CN22))</f>
        <v>881.73265285972582</v>
      </c>
      <c r="CK28" s="320">
        <f>PPMT(Исх.данные!$D$9,CK47,Исх.данные!$D$10,-SUM($AR$22:CO22),,SUM($AR$22:CO22))</f>
        <v>885.32494083156098</v>
      </c>
      <c r="CL28" s="320">
        <f>PPMT(Исх.данные!$D$9,CL47,Исх.данные!$D$10,-SUM($AR$22:CP22),,SUM($AR$22:CP22))</f>
        <v>888.93186422925987</v>
      </c>
      <c r="CM28" s="320">
        <f>PPMT(Исх.данные!$D$9,CM47,Исх.данные!$D$10,-SUM($AR$22:CQ22),,SUM($AR$22:CQ22))</f>
        <v>892.55348267935915</v>
      </c>
      <c r="CN28" s="320">
        <f>PPMT(Исх.данные!$D$9,CN47,Исх.данные!$D$10,-SUM($AR$22:CR22),,SUM($AR$22:CR22))</f>
        <v>896.18985605132139</v>
      </c>
      <c r="CO28" s="320">
        <f>PPMT(Исх.данные!$D$9,CO47,Исх.данные!$D$10,-SUM($AR$22:CS22),,SUM($AR$22:CS22))</f>
        <v>899.84104445852449</v>
      </c>
      <c r="CP28" s="320">
        <f>PPMT(Исх.данные!$D$9,CP47,Исх.данные!$D$10,-SUM($AR$22:CT22),,SUM($AR$22:CT22))</f>
        <v>903.50710825925603</v>
      </c>
      <c r="CQ28" s="320">
        <f>PPMT(Исх.данные!$D$9,CQ47,Исх.данные!$D$10,-SUM($AR$22:CU22),,SUM($AR$22:CU22))</f>
        <v>907.18810805771022</v>
      </c>
      <c r="CR28" s="320">
        <f>PPMT(Исх.данные!$D$9,CR47,Исх.данные!$D$10,-SUM($AR$22:CV22),,SUM($AR$22:CV22))</f>
        <v>910.88410470499105</v>
      </c>
      <c r="CS28" s="320">
        <f>PPMT(Исх.данные!$D$9,CS47,Исх.данные!$D$10,-SUM($AR$22:CW22),,SUM($AR$22:CW22))</f>
        <v>914.59515930011707</v>
      </c>
      <c r="CT28" s="320">
        <f>PPMT(Исх.данные!$D$9,CT47,Исх.данные!$D$10,-SUM($AR$22:CX22),,SUM($AR$22:CX22))</f>
        <v>918.32133319103116</v>
      </c>
      <c r="CU28" s="320">
        <f>PPMT(Исх.данные!$D$9,CU47,Исх.данные!$D$10,-SUM($AR$22:CY22),,SUM($AR$22:CY22))</f>
        <v>922.06268797561654</v>
      </c>
      <c r="CV28" s="320">
        <f>PPMT(Исх.данные!$D$9,CV47,Исх.данные!$D$10,-SUM($AR$22:CZ22),,SUM($AR$22:CZ22))</f>
        <v>925.81928550271277</v>
      </c>
      <c r="CW28" s="320">
        <f>PPMT(Исх.данные!$D$9,CW47,Исх.данные!$D$10,-SUM($AR$22:DA22),,SUM($AR$22:DA22))</f>
        <v>929.59118787313969</v>
      </c>
      <c r="CX28" s="320">
        <f>PPMT(Исх.данные!$D$9,CX47,Исх.данные!$D$10,-SUM($AR$22:DB22),,SUM($AR$22:DB22))</f>
        <v>933.37845744072342</v>
      </c>
      <c r="CY28" s="320">
        <f>PPMT(Исх.данные!$D$9,CY47,Исх.данные!$D$10,-SUM($AR$22:DC22),,SUM($AR$22:DC22))</f>
        <v>937.18115681332779</v>
      </c>
      <c r="CZ28" s="320">
        <v>0</v>
      </c>
      <c r="DA28" s="320">
        <v>0</v>
      </c>
      <c r="DB28" s="320">
        <v>0</v>
      </c>
      <c r="DC28" s="320">
        <v>0</v>
      </c>
      <c r="DD28" s="320">
        <v>0</v>
      </c>
      <c r="DE28" s="320">
        <v>0</v>
      </c>
      <c r="DF28" s="320">
        <v>0</v>
      </c>
      <c r="DG28" s="320">
        <v>0</v>
      </c>
      <c r="DH28" s="320">
        <v>0</v>
      </c>
      <c r="DI28" s="320">
        <v>0</v>
      </c>
      <c r="DJ28" s="320">
        <v>0</v>
      </c>
      <c r="DK28" s="320">
        <v>0</v>
      </c>
      <c r="DL28" s="320">
        <v>0</v>
      </c>
      <c r="DM28" s="320">
        <v>0</v>
      </c>
      <c r="DN28" s="320">
        <v>0</v>
      </c>
      <c r="DO28" s="320">
        <v>0</v>
      </c>
      <c r="DP28" s="320">
        <v>0</v>
      </c>
      <c r="DQ28" s="320">
        <v>0</v>
      </c>
      <c r="DR28" s="320">
        <v>0</v>
      </c>
      <c r="DS28" s="320">
        <v>0</v>
      </c>
      <c r="DT28" s="320">
        <v>0</v>
      </c>
      <c r="DU28" s="320">
        <v>0</v>
      </c>
      <c r="DV28" s="320">
        <v>0</v>
      </c>
      <c r="DW28" s="320">
        <v>0</v>
      </c>
      <c r="DX28" s="320">
        <v>0</v>
      </c>
      <c r="DY28" s="320">
        <v>0</v>
      </c>
      <c r="DZ28" s="320">
        <v>0</v>
      </c>
      <c r="EA28" s="320">
        <v>0</v>
      </c>
      <c r="EB28" s="320">
        <v>0</v>
      </c>
      <c r="EC28" s="320">
        <v>0</v>
      </c>
      <c r="ED28" s="320">
        <v>0</v>
      </c>
    </row>
    <row r="29" spans="2:134" s="60" customFormat="1" ht="12.6" customHeight="1">
      <c r="B29" s="319" t="s">
        <v>423</v>
      </c>
      <c r="C29" s="320">
        <v>0</v>
      </c>
      <c r="D29" s="320">
        <v>0</v>
      </c>
      <c r="E29" s="320">
        <v>0</v>
      </c>
      <c r="F29" s="320">
        <v>0</v>
      </c>
      <c r="G29" s="320">
        <v>0</v>
      </c>
      <c r="H29" s="320">
        <v>0</v>
      </c>
      <c r="I29" s="320">
        <v>0</v>
      </c>
      <c r="J29" s="320">
        <v>0</v>
      </c>
      <c r="K29" s="320">
        <v>0</v>
      </c>
      <c r="L29" s="320">
        <v>0</v>
      </c>
      <c r="M29" s="320">
        <v>0</v>
      </c>
      <c r="N29" s="320">
        <v>0</v>
      </c>
      <c r="O29" s="320">
        <v>0</v>
      </c>
      <c r="P29" s="320">
        <v>0</v>
      </c>
      <c r="Q29" s="320">
        <v>0</v>
      </c>
      <c r="R29" s="320">
        <v>0</v>
      </c>
      <c r="S29" s="320">
        <v>0</v>
      </c>
      <c r="T29" s="320">
        <v>0</v>
      </c>
      <c r="U29" s="320">
        <v>0</v>
      </c>
      <c r="V29" s="320">
        <v>0</v>
      </c>
      <c r="W29" s="320">
        <v>0</v>
      </c>
      <c r="X29" s="320">
        <v>0</v>
      </c>
      <c r="Y29" s="320">
        <v>0</v>
      </c>
      <c r="Z29" s="320">
        <v>0</v>
      </c>
      <c r="AA29" s="320">
        <v>0</v>
      </c>
      <c r="AB29" s="320">
        <v>0</v>
      </c>
      <c r="AC29" s="320">
        <v>0</v>
      </c>
      <c r="AD29" s="320">
        <v>0</v>
      </c>
      <c r="AE29" s="320">
        <v>0</v>
      </c>
      <c r="AF29" s="320">
        <v>0</v>
      </c>
      <c r="AG29" s="320">
        <v>0</v>
      </c>
      <c r="AH29" s="320">
        <v>0</v>
      </c>
      <c r="AI29" s="320">
        <v>0</v>
      </c>
      <c r="AJ29" s="320">
        <v>0</v>
      </c>
      <c r="AK29" s="320">
        <v>0</v>
      </c>
      <c r="AL29" s="320">
        <v>0</v>
      </c>
      <c r="AM29" s="320">
        <v>0</v>
      </c>
      <c r="AN29" s="320">
        <v>0</v>
      </c>
      <c r="AO29" s="320">
        <v>0</v>
      </c>
      <c r="AP29" s="320">
        <v>0</v>
      </c>
      <c r="AQ29" s="320">
        <v>0</v>
      </c>
      <c r="AR29" s="320">
        <v>0</v>
      </c>
      <c r="AS29" s="320">
        <v>0</v>
      </c>
      <c r="AT29" s="320">
        <v>0</v>
      </c>
      <c r="AU29" s="320">
        <v>0</v>
      </c>
      <c r="AV29" s="320">
        <v>0</v>
      </c>
      <c r="AW29" s="320">
        <v>0</v>
      </c>
      <c r="AX29" s="320">
        <v>0</v>
      </c>
      <c r="AY29" s="320">
        <v>0</v>
      </c>
      <c r="AZ29" s="320">
        <v>0</v>
      </c>
      <c r="BA29" s="320">
        <v>0</v>
      </c>
      <c r="BB29" s="320">
        <v>0</v>
      </c>
      <c r="BC29" s="320">
        <v>0</v>
      </c>
      <c r="BD29" s="320">
        <f>PPMT(Исх.данные!$D$9,BD48,Исх.данные!$D$10,-SUM($BD$23:BH23),,SUM($BD$23:BH23))</f>
        <v>1035.0992837392782</v>
      </c>
      <c r="BE29" s="320">
        <f>PPMT(Исх.данные!$D$9,BE48,Исх.данные!$D$10,-SUM($BD$23:BI23),,SUM($BD$23:BI23))</f>
        <v>814.33159961487308</v>
      </c>
      <c r="BF29" s="320">
        <f>PPMT(Исх.данные!$D$9,BF48,Исх.данные!$D$10,-SUM($BD$23:BJ23),,SUM($BD$23:BJ23))</f>
        <v>817.64928735264039</v>
      </c>
      <c r="BG29" s="320">
        <f>PPMT(Исх.данные!$D$9,BG48,Исх.данные!$D$10,-SUM($BD$23:BK23),,SUM($BD$23:BK23))</f>
        <v>820.98049176092695</v>
      </c>
      <c r="BH29" s="320">
        <f>PPMT(Исх.данные!$D$9,BH48,Исх.данные!$D$10,-SUM($BD$23:BL23),,SUM($BD$23:BL23))</f>
        <v>824.32526790832139</v>
      </c>
      <c r="BI29" s="320">
        <f>PPMT(Исх.данные!$D$9,BI48,Исх.данные!$D$10,-SUM($BD$23:BM23),,SUM($BD$23:BM23))</f>
        <v>827.68367108776908</v>
      </c>
      <c r="BJ29" s="320">
        <f>PPMT(Исх.данные!$D$9,BJ48,Исх.данные!$D$10,-SUM($BD$23:BN23),,SUM($BD$23:BN23))</f>
        <v>831.0557568174853</v>
      </c>
      <c r="BK29" s="320">
        <f>PPMT(Исх.данные!$D$9,BK48,Исх.данные!$D$10,-SUM($BD$23:BO23),,SUM($BD$23:BO23))</f>
        <v>834.44158084187313</v>
      </c>
      <c r="BL29" s="320">
        <f>PPMT(Исх.данные!$D$9,BL48,Исх.данные!$D$10,-SUM($BD$23:BP23),,SUM($BD$23:BP23))</f>
        <v>837.84119913244626</v>
      </c>
      <c r="BM29" s="320">
        <f>PPMT(Исх.данные!$D$9,BM48,Исх.данные!$D$10,-SUM($BD$23:BQ23),,SUM($BD$23:BQ23))</f>
        <v>841.25466788875201</v>
      </c>
      <c r="BN29" s="320">
        <f>PPMT(Исх.данные!$D$9,BN48,Исх.данные!$D$10,-SUM($BD$23:BR23),,SUM($BD$23:BR23))</f>
        <v>844.68204353930287</v>
      </c>
      <c r="BO29" s="320">
        <f>PPMT(Исх.данные!$D$9,BO48,Исх.данные!$D$10,-SUM($BD$23:BS23),,SUM($BD$23:BS23))</f>
        <v>848.12338274250715</v>
      </c>
      <c r="BP29" s="320">
        <f>PPMT(Исх.данные!$D$9,BP48,Исх.данные!$D$10,-SUM($BD$23:BT23),,SUM($BD$23:BT23))</f>
        <v>851.57874238760655</v>
      </c>
      <c r="BQ29" s="320">
        <f>PPMT(Исх.данные!$D$9,BQ48,Исх.данные!$D$10,-SUM($BD$23:BU23),,SUM($BD$23:BU23))</f>
        <v>855.04817959561728</v>
      </c>
      <c r="BR29" s="320">
        <f>PPMT(Исх.данные!$D$9,BR48,Исх.данные!$D$10,-SUM($BD$23:BV23),,SUM($BD$23:BV23))</f>
        <v>858.53175172027295</v>
      </c>
      <c r="BS29" s="320">
        <f>PPMT(Исх.данные!$D$9,BS48,Исх.данные!$D$10,-SUM($BD$23:BW23),,SUM($BD$23:BW23))</f>
        <v>862.02951634897386</v>
      </c>
      <c r="BT29" s="320">
        <f>PPMT(Исх.данные!$D$9,BT48,Исх.данные!$D$10,-SUM($BD$23:BX23),,SUM($BD$23:BX23))</f>
        <v>865.54153130373811</v>
      </c>
      <c r="BU29" s="320">
        <f>PPMT(Исх.данные!$D$9,BU48,Исх.данные!$D$10,-SUM($BD$23:BY23),,SUM($BD$23:BY23))</f>
        <v>869.06785464215807</v>
      </c>
      <c r="BV29" s="320">
        <f>PPMT(Исх.данные!$D$9,BV48,Исх.данные!$D$10,-SUM($BD$23:BZ23),,SUM($BD$23:BZ23))</f>
        <v>872.60854465835985</v>
      </c>
      <c r="BW29" s="320">
        <f>PPMT(Исх.данные!$D$9,BW48,Исх.данные!$D$10,-SUM($BD$23:CA23),,SUM($BD$23:CA23))</f>
        <v>876.1636598839674</v>
      </c>
      <c r="BX29" s="320">
        <f>PPMT(Исх.данные!$D$9,BX48,Исх.данные!$D$10,-SUM($BD$23:CB23),,SUM($BD$23:CB23))</f>
        <v>879.73325908906907</v>
      </c>
      <c r="BY29" s="320">
        <f>PPMT(Исх.данные!$D$9,BY48,Исх.данные!$D$10,-SUM($BD$23:CC23),,SUM($BD$23:CC23))</f>
        <v>883.31740128319018</v>
      </c>
      <c r="BZ29" s="320">
        <f>PPMT(Исх.данные!$D$9,BZ48,Исх.данные!$D$10,-SUM($BD$23:CD23),,SUM($BD$23:CD23))</f>
        <v>886.91614571626849</v>
      </c>
      <c r="CA29" s="320">
        <f>PPMT(Исх.данные!$D$9,CA48,Исх.данные!$D$10,-SUM($BD$23:CE23),,SUM($BD$23:CE23))</f>
        <v>890.529551879633</v>
      </c>
      <c r="CB29" s="320">
        <f>PPMT(Исх.данные!$D$9,CB48,Исх.данные!$D$10,-SUM($BD$23:CF23),,SUM($BD$23:CF23))</f>
        <v>894.15767950698751</v>
      </c>
      <c r="CC29" s="320">
        <f>PPMT(Исх.данные!$D$9,CC48,Исх.данные!$D$10,-SUM($BD$23:CG23),,SUM($BD$23:CG23))</f>
        <v>897.80058857539871</v>
      </c>
      <c r="CD29" s="320">
        <f>PPMT(Исх.данные!$D$9,CD48,Исх.данные!$D$10,-SUM($BD$23:CH23),,SUM($BD$23:CH23))</f>
        <v>901.45833930628726</v>
      </c>
      <c r="CE29" s="320">
        <f>PPMT(Исх.данные!$D$9,CE48,Исх.данные!$D$10,-SUM($BD$23:CI23),,SUM($BD$23:CI23))</f>
        <v>905.1309921664232</v>
      </c>
      <c r="CF29" s="320">
        <f>PPMT(Исх.данные!$D$9,CF48,Исх.данные!$D$10,-SUM($BD$23:CJ23),,SUM($BD$23:CJ23))</f>
        <v>908.8186078689256</v>
      </c>
      <c r="CG29" s="320">
        <f>PPMT(Исх.данные!$D$9,CG48,Исх.данные!$D$10,-SUM($BD$23:CK23),,SUM($BD$23:CK23))</f>
        <v>912.52124737426652</v>
      </c>
      <c r="CH29" s="320">
        <f>PPMT(Исх.данные!$D$9,CH48,Исх.данные!$D$10,-SUM($BD$23:CL23),,SUM($BD$23:CL23))</f>
        <v>916.23897189127854</v>
      </c>
      <c r="CI29" s="320">
        <f>PPMT(Исх.данные!$D$9,CI48,Исх.данные!$D$10,-SUM($BD$23:CM23),,SUM($BD$23:CM23))</f>
        <v>919.97184287816617</v>
      </c>
      <c r="CJ29" s="320">
        <f>PPMT(Исх.данные!$D$9,CJ48,Исх.данные!$D$10,-SUM($BD$23:CN23),,SUM($BD$23:CN23))</f>
        <v>923.71992204352296</v>
      </c>
      <c r="CK29" s="320">
        <f>PPMT(Исх.данные!$D$9,CK48,Исх.данные!$D$10,-SUM($BD$23:CO23),,SUM($BD$23:CO23))</f>
        <v>927.4832713473503</v>
      </c>
      <c r="CL29" s="320">
        <f>PPMT(Исх.данные!$D$9,CL48,Исх.данные!$D$10,-SUM($BD$23:CP23),,SUM($BD$23:CP23))</f>
        <v>931.26195300208269</v>
      </c>
      <c r="CM29" s="320">
        <f>PPMT(Исх.данные!$D$9,CM48,Исх.данные!$D$10,-SUM($BD$23:CQ23),,SUM($BD$23:CQ23))</f>
        <v>935.05602947361524</v>
      </c>
      <c r="CN29" s="320">
        <f>PPMT(Исх.данные!$D$9,CN48,Исх.данные!$D$10,-SUM($BD$23:CR23),,SUM($BD$23:CR23))</f>
        <v>938.86556348233739</v>
      </c>
      <c r="CO29" s="320">
        <f>PPMT(Исх.данные!$D$9,CO48,Исх.данные!$D$10,-SUM($BD$23:CS23),,SUM($BD$23:CS23))</f>
        <v>942.69061800416921</v>
      </c>
      <c r="CP29" s="320">
        <f>PPMT(Исх.данные!$D$9,CP48,Исх.данные!$D$10,-SUM($BD$23:CT23),,SUM($BD$23:CT23))</f>
        <v>946.53125627160216</v>
      </c>
      <c r="CQ29" s="320">
        <f>PPMT(Исх.данные!$D$9,CQ48,Исх.данные!$D$10,-SUM($BD$23:CU23),,SUM($BD$23:CU23))</f>
        <v>950.38754177474482</v>
      </c>
      <c r="CR29" s="320">
        <f>PPMT(Исх.данные!$D$9,CR48,Исх.данные!$D$10,-SUM($BD$23:CV23),,SUM($BD$23:CV23))</f>
        <v>954.25953826237242</v>
      </c>
      <c r="CS29" s="320">
        <f>PPMT(Исх.данные!$D$9,CS48,Исх.данные!$D$10,-SUM($BD$23:CW23),,SUM($BD$23:CW23))</f>
        <v>958.1473097429805</v>
      </c>
      <c r="CT29" s="320">
        <f>PPMT(Исх.данные!$D$9,CT48,Исх.данные!$D$10,-SUM($BD$23:CX23),,SUM($BD$23:CX23))</f>
        <v>962.05092048584299</v>
      </c>
      <c r="CU29" s="320">
        <f>PPMT(Исх.данные!$D$9,CU48,Исх.данные!$D$10,-SUM($BD$23:CY23),,SUM($BD$23:CY23))</f>
        <v>965.97043502207521</v>
      </c>
      <c r="CV29" s="320">
        <f>PPMT(Исх.данные!$D$9,CV48,Исх.данные!$D$10,-SUM($BD$23:CZ23),,SUM($BD$23:CZ23))</f>
        <v>969.90591814569973</v>
      </c>
      <c r="CW29" s="320">
        <f>PPMT(Исх.данные!$D$9,CW48,Исх.данные!$D$10,-SUM($BD$23:DA23),,SUM($BD$23:DA23))</f>
        <v>973.8574349147184</v>
      </c>
      <c r="CX29" s="320">
        <f>PPMT(Исх.данные!$D$9,CX48,Исх.данные!$D$10,-SUM($BD$23:DB23),,SUM($BD$23:DB23))</f>
        <v>977.82505065218731</v>
      </c>
      <c r="CY29" s="320">
        <f>PPMT(Исх.данные!$D$9,CY48,Исх.данные!$D$10,-SUM($BD$23:DC23),,SUM($BD$23:DC23))</f>
        <v>981.80883094729654</v>
      </c>
      <c r="CZ29" s="320">
        <f>PPMT(Исх.данные!$D$9,CZ48,Исх.данные!$D$10,-SUM($BD$23:DD23),,SUM($BD$23:DD23))</f>
        <v>985.80884165645489</v>
      </c>
      <c r="DA29" s="320">
        <f>PPMT(Исх.данные!$D$9,DA48,Исх.данные!$D$10,-SUM($BD$23:DE23),,SUM($BD$23:DE23))</f>
        <v>989.82514890437835</v>
      </c>
      <c r="DB29" s="320">
        <f>PPMT(Исх.данные!$D$9,DB48,Исх.данные!$D$10,-SUM($BD$23:DF23),,SUM($BD$23:DF23))</f>
        <v>993.85781908518288</v>
      </c>
      <c r="DC29" s="320">
        <f>PPMT(Исх.данные!$D$9,DC48,Исх.данные!$D$10,-SUM($BD$23:DG23),,SUM($BD$23:DG23))</f>
        <v>997.90691886348282</v>
      </c>
      <c r="DD29" s="320">
        <f>PPMT(Исх.данные!$D$9,DD48,Исх.данные!$D$10,-SUM($BD$23:DH23),,SUM($BD$23:DH23))</f>
        <v>1001.9725151754917</v>
      </c>
      <c r="DE29" s="320">
        <f>PPMT(Исх.данные!$D$9,DE48,Исх.данные!$D$10,-SUM($BD$23:DI23),,SUM($BD$23:DI23))</f>
        <v>1006.0546752301301</v>
      </c>
      <c r="DF29" s="320">
        <f>PPMT(Исх.данные!$D$9,DF48,Исх.данные!$D$10,-SUM($BD$23:DJ23),,SUM($BD$23:DJ23))</f>
        <v>1010.1534665101358</v>
      </c>
      <c r="DG29" s="320">
        <f>PPMT(Исх.данные!$D$9,DG48,Исх.данные!$D$10,-SUM($BD$23:DK23),,SUM($BD$23:DK23))</f>
        <v>1014.2689567731796</v>
      </c>
      <c r="DH29" s="320">
        <f>PPMT(Исх.данные!$D$9,DH48,Исх.данные!$D$10,-SUM($BD$23:DL23),,SUM($BD$23:DL23))</f>
        <v>1018.4012140529854</v>
      </c>
      <c r="DI29" s="320">
        <f>PPMT(Исх.данные!$D$9,DI48,Исх.данные!$D$10,-SUM($BD$23:DM23),,SUM($BD$23:DM23))</f>
        <v>1022.550306660455</v>
      </c>
      <c r="DJ29" s="320">
        <f>PPMT(Исх.данные!$D$9,DJ48,Исх.данные!$D$10,-SUM($BD$23:DN23),,SUM($BD$23:DN23))</f>
        <v>1026.7163031847972</v>
      </c>
      <c r="DK29" s="320">
        <f>PPMT(Исх.данные!$D$9,DK48,Исх.данные!$D$10,-SUM($BD$23:DO23),,SUM($BD$23:DO23))</f>
        <v>1030.899272494662</v>
      </c>
      <c r="DL29" s="320">
        <v>0</v>
      </c>
      <c r="DM29" s="320">
        <v>0</v>
      </c>
      <c r="DN29" s="320">
        <v>0</v>
      </c>
      <c r="DO29" s="320">
        <v>0</v>
      </c>
      <c r="DP29" s="320">
        <v>0</v>
      </c>
      <c r="DQ29" s="320">
        <v>0</v>
      </c>
      <c r="DR29" s="320">
        <v>0</v>
      </c>
      <c r="DS29" s="320">
        <v>0</v>
      </c>
      <c r="DT29" s="320">
        <v>0</v>
      </c>
      <c r="DU29" s="320">
        <v>0</v>
      </c>
      <c r="DV29" s="320">
        <v>0</v>
      </c>
      <c r="DW29" s="320">
        <v>0</v>
      </c>
      <c r="DX29" s="320">
        <v>0</v>
      </c>
      <c r="DY29" s="320">
        <v>0</v>
      </c>
      <c r="DZ29" s="320">
        <v>0</v>
      </c>
      <c r="EA29" s="320">
        <v>0</v>
      </c>
      <c r="EB29" s="320">
        <v>0</v>
      </c>
      <c r="EC29" s="320">
        <v>0</v>
      </c>
      <c r="ED29" s="320">
        <v>0</v>
      </c>
    </row>
    <row r="30" spans="2:134" s="320" customFormat="1" ht="12.6" customHeight="1">
      <c r="B30" s="319" t="s">
        <v>389</v>
      </c>
      <c r="C30" s="320">
        <v>0</v>
      </c>
      <c r="D30" s="320">
        <v>0</v>
      </c>
      <c r="E30" s="320">
        <v>0</v>
      </c>
      <c r="F30" s="320">
        <v>0</v>
      </c>
      <c r="G30" s="320">
        <v>0</v>
      </c>
      <c r="H30" s="320">
        <v>0</v>
      </c>
      <c r="I30" s="320">
        <v>0</v>
      </c>
      <c r="J30" s="320">
        <v>0</v>
      </c>
      <c r="K30" s="320">
        <v>0</v>
      </c>
      <c r="L30" s="320">
        <v>0</v>
      </c>
      <c r="M30" s="320">
        <v>0</v>
      </c>
      <c r="N30" s="320">
        <v>0</v>
      </c>
      <c r="O30" s="320">
        <v>0</v>
      </c>
      <c r="P30" s="320">
        <v>0</v>
      </c>
      <c r="Q30" s="320">
        <v>0</v>
      </c>
      <c r="R30" s="320">
        <v>0</v>
      </c>
      <c r="S30" s="320">
        <v>0</v>
      </c>
      <c r="T30" s="320">
        <v>0</v>
      </c>
      <c r="U30" s="320">
        <v>0</v>
      </c>
      <c r="V30" s="320">
        <v>0</v>
      </c>
      <c r="W30" s="320">
        <v>0</v>
      </c>
      <c r="X30" s="320">
        <v>0</v>
      </c>
      <c r="Y30" s="320">
        <v>0</v>
      </c>
      <c r="Z30" s="320">
        <f>PPMT(Исх.данные!$D$13,Z49,Исх.данные!$D$14,-SUM($O$24:AJ24),,SUM($O$24:AJ24))</f>
        <v>728.74178376200189</v>
      </c>
      <c r="AA30" s="320">
        <f>PPMT(Исх.данные!$D$13,AA49,Исх.данные!$D$14,-SUM($O$24:AK24),,SUM($O$24:AK24))</f>
        <v>477.04577786796284</v>
      </c>
      <c r="AB30" s="320">
        <f>PPMT(Исх.данные!$D$13,AB49,Исх.данные!$D$14,-SUM($O$24:AL24),,SUM($O$24:AL24))</f>
        <v>480.48400102565517</v>
      </c>
      <c r="AC30" s="320">
        <f>PPMT(Исх.данные!$D$13,AC49,Исх.данные!$D$14,-SUM($O$24:AM24),,SUM($O$24:AM24))</f>
        <v>483.94700456927802</v>
      </c>
      <c r="AD30" s="320">
        <f>PPMT(Исх.данные!$D$13,AD49,Исх.данные!$D$14,-SUM($O$24:AN24),,SUM($O$24:AN24))</f>
        <v>487.43496709908464</v>
      </c>
      <c r="AE30" s="320">
        <f>PPMT(Исх.данные!$D$13,AE49,Исх.данные!$D$14,-SUM($O$24:AO24),,SUM($O$24:AO24))</f>
        <v>490.94806850255821</v>
      </c>
      <c r="AF30" s="320">
        <f>PPMT(Исх.данные!$D$13,AF49,Исх.данные!$D$14,-SUM($O$24:AP24),,SUM($O$24:AP24))</f>
        <v>494.486489963689</v>
      </c>
      <c r="AG30" s="320">
        <f>PPMT(Исх.данные!$D$13,AG49,Исх.данные!$D$14,-SUM($O$24:AQ24),,SUM($O$24:AQ24))</f>
        <v>498.05041397231889</v>
      </c>
      <c r="AH30" s="320">
        <f>PPMT(Исх.данные!$D$13,AH49,Исх.данные!$D$14,-SUM($O$24:AR24),,SUM($O$24:AR24))</f>
        <v>501.64002433355313</v>
      </c>
      <c r="AI30" s="320">
        <f>PPMT(Исх.данные!$D$13,AI49,Исх.данные!$D$14,-SUM($O$24:AS24),,SUM($O$24:AS24))</f>
        <v>505.25550617723968</v>
      </c>
      <c r="AJ30" s="320">
        <f>PPMT(Исх.данные!$D$13,AJ49,Исх.данные!$D$14,-SUM($O$24:AT24),,SUM($O$24:AT24))</f>
        <v>508.89704596751739</v>
      </c>
      <c r="AK30" s="320">
        <f>PPMT(Исх.данные!$D$13,AK49,Исх.данные!$D$14,-SUM($O$24:AU24),,SUM($O$24:AU24))</f>
        <v>512.56483151243219</v>
      </c>
      <c r="AL30" s="320">
        <f>PPMT(Исх.данные!$D$13,AL49,Исх.данные!$D$14,-SUM($O$24:AV24),,SUM($O$24:AV24))</f>
        <v>516.25905197362351</v>
      </c>
      <c r="AM30" s="320">
        <f>PPMT(Исх.данные!$D$13,AM49,Исх.данные!$D$14,-SUM($O$24:AW24),,SUM($O$24:AW24))</f>
        <v>519.97989787607958</v>
      </c>
      <c r="AN30" s="320">
        <f>PPMT(Исх.данные!$D$13,AN49,Исх.данные!$D$14,-SUM($O$24:AX24),,SUM($O$24:AX24))</f>
        <v>523.72756111796423</v>
      </c>
      <c r="AO30" s="320">
        <f>PPMT(Исх.данные!$D$13,AO49,Исх.данные!$D$14,-SUM($O$24:AY24),,SUM($O$24:AY24))</f>
        <v>527.50223498051321</v>
      </c>
      <c r="AP30" s="320">
        <f>PPMT(Исх.данные!$D$13,AP49,Исх.данные!$D$14,-SUM($O$24:AZ24),,SUM($O$24:AZ24))</f>
        <v>531.30411413800255</v>
      </c>
      <c r="AQ30" s="320">
        <f>PPMT(Исх.данные!$D$13,AQ49,Исх.данные!$D$14,-SUM($O$24:BA24),,SUM($O$24:BA24))</f>
        <v>535.13339466778859</v>
      </c>
      <c r="AR30" s="320">
        <f>PPMT(Исх.данные!$D$13,AR49,Исх.данные!$D$14,-SUM($O$24:BB24),,SUM($O$24:BB24))</f>
        <v>538.99027406042114</v>
      </c>
      <c r="AS30" s="320">
        <f>PPMT(Исх.данные!$D$13,AS49,Исх.данные!$D$14,-SUM($O$24:BC24),,SUM($O$24:BC24))</f>
        <v>542.87495122982773</v>
      </c>
      <c r="AT30" s="320">
        <f>PPMT(Исх.данные!$D$13,AT49,Исх.данные!$D$14,-SUM($O$24:BD24),,SUM($O$24:BD24))</f>
        <v>546.78762652357307</v>
      </c>
      <c r="AU30" s="320">
        <f>PPMT(Исх.данные!$D$13,AU49,Исх.данные!$D$14,-SUM($O$24:BE24),,SUM($O$24:BE24))</f>
        <v>550.72850173319159</v>
      </c>
      <c r="AV30" s="320">
        <f>PPMT(Исх.данные!$D$13,AV49,Исх.данные!$D$14,-SUM($O$24:BF24),,SUM($O$24:BF24))</f>
        <v>554.69778010459413</v>
      </c>
      <c r="AW30" s="320">
        <f>PPMT(Исх.данные!$D$13,AW49,Исх.данные!$D$14,-SUM($O$24:BG24),,SUM($O$24:BG24))</f>
        <v>558.6956663485513</v>
      </c>
      <c r="AX30" s="320">
        <f>PPMT(Исх.данные!$D$13,AX49,Исх.данные!$D$14,-SUM($O$24:BH24),,SUM($O$24:BH24))</f>
        <v>562.72236665124979</v>
      </c>
      <c r="AY30" s="320">
        <f>PPMT(Исх.данные!$D$13,AY49,Исх.данные!$D$14,-SUM($O$24:BI24),,SUM($O$24:BI24))</f>
        <v>566.77808868492696</v>
      </c>
      <c r="AZ30" s="320">
        <f>PPMT(Исх.данные!$D$13,AZ49,Исх.данные!$D$14,-SUM($O$24:BJ24),,SUM($O$24:BJ24))</f>
        <v>570.86304161858118</v>
      </c>
      <c r="BA30" s="320">
        <f>PPMT(Исх.данные!$D$13,BA49,Исх.данные!$D$14,-SUM($O$24:BK24),,SUM($O$24:BK24))</f>
        <v>574.97743612875945</v>
      </c>
      <c r="BB30" s="320">
        <f>PPMT(Исх.данные!$D$13,BB49,Исх.данные!$D$14,-SUM($O$24:BL24),,SUM($O$24:BL24))</f>
        <v>579.1214844104228</v>
      </c>
      <c r="BC30" s="320">
        <f>PPMT(Исх.данные!$D$13,BC49,Исх.данные!$D$14,-SUM($O$24:BM24),,SUM($O$24:BM24))</f>
        <v>583.29540018788975</v>
      </c>
      <c r="BD30" s="320">
        <f>PPMT(Исх.данные!$D$13,BD49,Исх.данные!$D$14,-SUM($O$24:BN24),,SUM($O$24:BN24))</f>
        <v>587.49939872585935</v>
      </c>
      <c r="BE30" s="320">
        <f>PPMT(Исх.данные!$D$13,BE49,Исх.данные!$D$14,-SUM($O$24:BO24),,SUM($O$24:BO24))</f>
        <v>591.73369684051238</v>
      </c>
      <c r="BF30" s="320">
        <f>PPMT(Исх.данные!$D$13,BF49,Исх.данные!$D$14,-SUM($O$24:BP24),,SUM($O$24:BP24))</f>
        <v>595.99851291069479</v>
      </c>
      <c r="BG30" s="320">
        <f>PPMT(Исх.данные!$D$13,BG49,Исх.данные!$D$14,-SUM($O$24:BQ24),,SUM($O$24:BQ24))</f>
        <v>600.29406688917891</v>
      </c>
      <c r="BH30" s="320">
        <f>PPMT(Исх.данные!$D$13,BH49,Исх.данные!$D$14,-SUM($O$24:BR24),,SUM($O$24:BR24))</f>
        <v>604.62058031400773</v>
      </c>
      <c r="BI30" s="320">
        <f>PPMT(Исх.данные!$D$13,BI49,Исх.данные!$D$14,-SUM($O$24:BS24),,SUM($O$24:BS24))</f>
        <v>608.97827631992095</v>
      </c>
      <c r="BJ30" s="320">
        <f>PPMT(Исх.данные!$D$13,BJ49,Исх.данные!$D$14,-SUM($O$24:BT24),,SUM($O$24:BT24))</f>
        <v>613.36737964986241</v>
      </c>
      <c r="BK30" s="320">
        <f>PPMT(Исх.данные!$D$13,BK49,Исх.данные!$D$14,-SUM($O$24:BU24),,SUM($O$24:BU24))</f>
        <v>617.78811666657055</v>
      </c>
      <c r="BL30" s="320">
        <f>PPMT(Исх.данные!$D$13,BL49,Исх.данные!$D$14,-SUM($O$24:BV24),,SUM($O$24:BV24))</f>
        <v>622.24071536425367</v>
      </c>
      <c r="BM30" s="320">
        <f>PPMT(Исх.данные!$D$13,BM49,Исх.данные!$D$14,-SUM($O$24:BW24),,SUM($O$24:BW24))</f>
        <v>626.72540538034809</v>
      </c>
      <c r="BN30" s="320">
        <f>PPMT(Исх.данные!$D$13,BN49,Исх.данные!$D$14,-SUM($O$24:BX24),,SUM($O$24:BX24))</f>
        <v>631.24241800736104</v>
      </c>
      <c r="BO30" s="320">
        <f>PPMT(Исх.данные!$D$13,BO49,Исх.данные!$D$14,-SUM($O$24:BY24),,SUM($O$24:BY24))</f>
        <v>635.79198620479997</v>
      </c>
      <c r="BP30" s="320">
        <f>PPMT(Исх.данные!$D$13,BP49,Исх.данные!$D$14,-SUM($O$24:BZ24),,SUM($O$24:BZ24))</f>
        <v>640.37434461118676</v>
      </c>
      <c r="BQ30" s="320">
        <f>PPMT(Исх.данные!$D$13,BQ49,Исх.данные!$D$14,-SUM($O$24:CA24),,SUM($O$24:CA24))</f>
        <v>644.98972955615886</v>
      </c>
      <c r="BR30" s="320">
        <f>PPMT(Исх.данные!$D$13,BR49,Исх.данные!$D$14,-SUM($O$24:CB24),,SUM($O$24:CB24))</f>
        <v>649.63837907265747</v>
      </c>
      <c r="BS30" s="320">
        <f>PPMT(Исх.данные!$D$13,BS49,Исх.данные!$D$14,-SUM($O$24:CC24),,SUM($O$24:CC24))</f>
        <v>654.3205329092051</v>
      </c>
      <c r="BT30" s="320">
        <f>PPMT(Исх.данные!$D$13,BT49,Исх.данные!$D$14,-SUM($O$24:CD24),,SUM($O$24:CD24))</f>
        <v>659.03643254226859</v>
      </c>
      <c r="BU30" s="320">
        <f>PPMT(Исх.данные!$D$13,BU49,Исх.данные!$D$14,-SUM($O$24:CE24),,SUM($O$24:CE24))</f>
        <v>663.78632118871417</v>
      </c>
      <c r="BV30" s="320">
        <f>PPMT(Исх.данные!$D$13,BV49,Исх.данные!$D$14,-SUM($O$24:CF24),,SUM($O$24:CF24))</f>
        <v>668.57044381835021</v>
      </c>
      <c r="BW30" s="320">
        <f>PPMT(Исх.данные!$D$13,BW49,Исх.данные!$D$14,-SUM($O$24:CG24),,SUM($O$24:CG24))</f>
        <v>673.38904716656214</v>
      </c>
      <c r="BX30" s="320">
        <f>PPMT(Исх.данные!$D$13,BX49,Исх.данные!$D$14,-SUM($O$24:CH24),,SUM($O$24:CH24))</f>
        <v>678.24237974703669</v>
      </c>
      <c r="BY30" s="320">
        <f>PPMT(Исх.данные!$D$13,BY49,Исх.данные!$D$14,-SUM($O$24:CI24),,SUM($O$24:CI24))</f>
        <v>683.1306918645796</v>
      </c>
      <c r="BZ30" s="320">
        <f>PPMT(Исх.данные!$D$13,BZ49,Исх.данные!$D$14,-SUM($O$24:CJ24),,SUM($O$24:CJ24))</f>
        <v>688.05423562802378</v>
      </c>
      <c r="CA30" s="320">
        <f>PPMT(Исх.данные!$D$13,CA49,Исх.данные!$D$14,-SUM($O$24:CK24),,SUM($O$24:CK24))</f>
        <v>693.01326496323225</v>
      </c>
      <c r="CB30" s="320">
        <f>PPMT(Исх.данные!$D$13,CB49,Исх.данные!$D$14,-SUM($O$24:CL24),,SUM($O$24:CL24))</f>
        <v>698.00803562619376</v>
      </c>
      <c r="CC30" s="320">
        <f>PPMT(Исх.данные!$D$13,CC49,Исх.данные!$D$14,-SUM($O$24:CM24),,SUM($O$24:CM24))</f>
        <v>703.03880521621318</v>
      </c>
      <c r="CD30" s="320">
        <f>PPMT(Исх.данные!$D$13,CD49,Исх.данные!$D$14,-SUM($O$24:CN24),,SUM($O$24:CN24))</f>
        <v>708.10583318919691</v>
      </c>
      <c r="CE30" s="320">
        <f>PPMT(Исх.данные!$D$13,CE49,Исх.данные!$D$14,-SUM($O$24:CO24),,SUM($O$24:CO24))</f>
        <v>713.20938087103389</v>
      </c>
      <c r="CF30" s="320">
        <f>PPMT(Исх.данные!$D$13,CF49,Исх.данные!$D$14,-SUM($O$24:CP24),,SUM($O$24:CP24))</f>
        <v>718.34971147107308</v>
      </c>
      <c r="CG30" s="320">
        <f>PPMT(Исх.данные!$D$13,CG49,Исх.данные!$D$14,-SUM($O$24:CQ24),,SUM($O$24:CQ24))</f>
        <v>723.52709009569867</v>
      </c>
      <c r="CH30" s="320">
        <v>0</v>
      </c>
      <c r="CI30" s="320">
        <v>0</v>
      </c>
      <c r="CJ30" s="320">
        <v>0</v>
      </c>
      <c r="CK30" s="320">
        <v>0</v>
      </c>
      <c r="CL30" s="320">
        <v>0</v>
      </c>
      <c r="CM30" s="320">
        <v>0</v>
      </c>
      <c r="CN30" s="320">
        <v>0</v>
      </c>
      <c r="CO30" s="320">
        <v>0</v>
      </c>
      <c r="CP30" s="320">
        <v>0</v>
      </c>
      <c r="CQ30" s="320">
        <v>0</v>
      </c>
      <c r="CR30" s="320">
        <v>0</v>
      </c>
      <c r="CS30" s="320">
        <v>0</v>
      </c>
      <c r="CT30" s="320">
        <v>0</v>
      </c>
      <c r="CU30" s="320">
        <v>0</v>
      </c>
      <c r="CV30" s="320">
        <v>0</v>
      </c>
      <c r="CW30" s="320">
        <v>0</v>
      </c>
      <c r="CX30" s="320">
        <v>0</v>
      </c>
      <c r="CY30" s="320">
        <v>0</v>
      </c>
      <c r="CZ30" s="320">
        <v>0</v>
      </c>
      <c r="DA30" s="320">
        <v>0</v>
      </c>
      <c r="DB30" s="320">
        <v>0</v>
      </c>
      <c r="DC30" s="320">
        <v>0</v>
      </c>
      <c r="DD30" s="320">
        <v>0</v>
      </c>
      <c r="DE30" s="320">
        <v>0</v>
      </c>
      <c r="DF30" s="320">
        <v>0</v>
      </c>
      <c r="DG30" s="320">
        <v>0</v>
      </c>
      <c r="DH30" s="320">
        <v>0</v>
      </c>
      <c r="DI30" s="320">
        <v>0</v>
      </c>
      <c r="DJ30" s="320">
        <v>0</v>
      </c>
      <c r="DK30" s="320">
        <v>0</v>
      </c>
      <c r="DL30" s="320">
        <v>0</v>
      </c>
      <c r="DM30" s="320">
        <v>0</v>
      </c>
      <c r="DN30" s="320">
        <v>0</v>
      </c>
      <c r="DO30" s="320">
        <v>0</v>
      </c>
      <c r="DP30" s="320">
        <v>0</v>
      </c>
      <c r="DQ30" s="320">
        <v>0</v>
      </c>
      <c r="DR30" s="320">
        <v>0</v>
      </c>
      <c r="DS30" s="320">
        <v>0</v>
      </c>
      <c r="DT30" s="320">
        <v>0</v>
      </c>
      <c r="DU30" s="320">
        <v>0</v>
      </c>
      <c r="DV30" s="320">
        <v>0</v>
      </c>
      <c r="DW30" s="320">
        <v>0</v>
      </c>
      <c r="DX30" s="320">
        <v>0</v>
      </c>
      <c r="DY30" s="320">
        <v>0</v>
      </c>
      <c r="DZ30" s="320">
        <v>0</v>
      </c>
      <c r="EA30" s="320">
        <v>0</v>
      </c>
      <c r="EB30" s="320">
        <v>0</v>
      </c>
      <c r="EC30" s="320">
        <v>0</v>
      </c>
      <c r="ED30" s="320">
        <v>0</v>
      </c>
    </row>
    <row r="31" spans="2:134" s="60" customFormat="1" ht="12.6" customHeight="1">
      <c r="B31" s="225" t="s">
        <v>55</v>
      </c>
      <c r="C31" s="226">
        <f>C4+C6</f>
        <v>0</v>
      </c>
      <c r="D31" s="226">
        <f t="shared" ref="D31:Z31" si="22">D4+D6</f>
        <v>0</v>
      </c>
      <c r="E31" s="226">
        <f t="shared" si="22"/>
        <v>0</v>
      </c>
      <c r="F31" s="226">
        <f t="shared" si="22"/>
        <v>0</v>
      </c>
      <c r="G31" s="226">
        <f t="shared" si="22"/>
        <v>-20.399999999999999</v>
      </c>
      <c r="H31" s="226">
        <f t="shared" si="22"/>
        <v>0</v>
      </c>
      <c r="I31" s="226">
        <f t="shared" si="22"/>
        <v>0</v>
      </c>
      <c r="J31" s="226">
        <f t="shared" si="22"/>
        <v>0</v>
      </c>
      <c r="K31" s="226">
        <f t="shared" si="22"/>
        <v>0</v>
      </c>
      <c r="L31" s="226">
        <f t="shared" si="22"/>
        <v>-3603.1122600000003</v>
      </c>
      <c r="M31" s="226">
        <f t="shared" si="22"/>
        <v>0</v>
      </c>
      <c r="N31" s="226">
        <f t="shared" si="22"/>
        <v>-1106.3652229125</v>
      </c>
      <c r="O31" s="226">
        <f t="shared" si="22"/>
        <v>-27024.328799999999</v>
      </c>
      <c r="P31" s="226">
        <f t="shared" si="22"/>
        <v>-16229.842904571322</v>
      </c>
      <c r="Q31" s="226">
        <f t="shared" si="22"/>
        <v>-581.79910499665084</v>
      </c>
      <c r="R31" s="226">
        <f t="shared" si="22"/>
        <v>-46474.436613613012</v>
      </c>
      <c r="S31" s="226">
        <f>S4+S6</f>
        <v>-8027.0190846076857</v>
      </c>
      <c r="T31" s="226">
        <f t="shared" si="22"/>
        <v>-1026.6507700329685</v>
      </c>
      <c r="U31" s="226">
        <f t="shared" si="22"/>
        <v>-883.98412347164606</v>
      </c>
      <c r="V31" s="226">
        <f t="shared" si="22"/>
        <v>-346.72888632632777</v>
      </c>
      <c r="W31" s="226">
        <f t="shared" si="22"/>
        <v>-15579.267540960205</v>
      </c>
      <c r="X31" s="226">
        <f t="shared" si="22"/>
        <v>-53742.540476778966</v>
      </c>
      <c r="Y31" s="226">
        <f t="shared" si="22"/>
        <v>-4756.9478685142403</v>
      </c>
      <c r="Z31" s="226">
        <f t="shared" si="22"/>
        <v>-10342.563054413165</v>
      </c>
      <c r="AA31" s="226">
        <f>AA4+AA6</f>
        <v>-10280.40187380339</v>
      </c>
      <c r="AB31" s="226">
        <f t="shared" ref="AB31:AR31" si="23">AB4+AB6</f>
        <v>-7950.1288927050182</v>
      </c>
      <c r="AC31" s="226">
        <f>AC4+AC6</f>
        <v>-28218.740199101219</v>
      </c>
      <c r="AD31" s="226">
        <f t="shared" si="23"/>
        <v>4846.3747349216255</v>
      </c>
      <c r="AE31" s="226">
        <f t="shared" si="23"/>
        <v>3225.5384125744445</v>
      </c>
      <c r="AF31" s="226">
        <f t="shared" si="23"/>
        <v>-2771.4075273457365</v>
      </c>
      <c r="AG31" s="226">
        <f t="shared" si="23"/>
        <v>617.05725725146658</v>
      </c>
      <c r="AH31" s="226">
        <f t="shared" si="23"/>
        <v>6081.963573849871</v>
      </c>
      <c r="AI31" s="226">
        <f t="shared" si="23"/>
        <v>12318.724726123031</v>
      </c>
      <c r="AJ31" s="226">
        <f t="shared" si="23"/>
        <v>17437.129276413129</v>
      </c>
      <c r="AK31" s="226">
        <f t="shared" si="23"/>
        <v>28332.280288859041</v>
      </c>
      <c r="AL31" s="226">
        <f t="shared" si="23"/>
        <v>-5683.7089323518112</v>
      </c>
      <c r="AM31" s="226">
        <f t="shared" si="23"/>
        <v>-11361.084016885774</v>
      </c>
      <c r="AN31" s="226">
        <f t="shared" si="23"/>
        <v>-6839.2643044721881</v>
      </c>
      <c r="AO31" s="226">
        <f t="shared" si="23"/>
        <v>992.41422940984523</v>
      </c>
      <c r="AP31" s="226">
        <f t="shared" si="23"/>
        <v>7844.4024417354758</v>
      </c>
      <c r="AQ31" s="226">
        <f t="shared" si="23"/>
        <v>6726.4373646739368</v>
      </c>
      <c r="AR31" s="226">
        <f t="shared" si="23"/>
        <v>932.96189796384897</v>
      </c>
      <c r="AS31" s="226">
        <f t="shared" ref="AS31:BX31" si="24">AS4+AS6</f>
        <v>5448.6212948008197</v>
      </c>
      <c r="AT31" s="226">
        <f t="shared" si="24"/>
        <v>12751.888073336677</v>
      </c>
      <c r="AU31" s="226">
        <f t="shared" si="24"/>
        <v>21110.056282792859</v>
      </c>
      <c r="AV31" s="226">
        <f t="shared" si="24"/>
        <v>24703.217890187712</v>
      </c>
      <c r="AW31" s="226">
        <f t="shared" si="24"/>
        <v>32689.22276706577</v>
      </c>
      <c r="AX31" s="226">
        <f t="shared" si="24"/>
        <v>-6436.877224379039</v>
      </c>
      <c r="AY31" s="226">
        <f t="shared" si="24"/>
        <v>-11664.737634619669</v>
      </c>
      <c r="AZ31" s="226">
        <f t="shared" si="24"/>
        <v>-6836.5309818278656</v>
      </c>
      <c r="BA31" s="226">
        <f t="shared" si="24"/>
        <v>1319.9753522851786</v>
      </c>
      <c r="BB31" s="226">
        <f t="shared" si="24"/>
        <v>6343.3111171101127</v>
      </c>
      <c r="BC31" s="226">
        <f t="shared" si="24"/>
        <v>5353.230501237711</v>
      </c>
      <c r="BD31" s="226">
        <f t="shared" si="24"/>
        <v>-119.7232628735419</v>
      </c>
      <c r="BE31" s="226">
        <f t="shared" si="24"/>
        <v>3891.792472630741</v>
      </c>
      <c r="BF31" s="226">
        <f t="shared" si="24"/>
        <v>10383.099878461688</v>
      </c>
      <c r="BG31" s="226">
        <f t="shared" si="24"/>
        <v>17804.620957552412</v>
      </c>
      <c r="BH31" s="226">
        <f t="shared" si="24"/>
        <v>23870.787441780834</v>
      </c>
      <c r="BI31" s="226">
        <f t="shared" si="24"/>
        <v>35318.047068938125</v>
      </c>
      <c r="BJ31" s="226">
        <f t="shared" si="24"/>
        <v>-6383.940407564256</v>
      </c>
      <c r="BK31" s="226">
        <f t="shared" si="24"/>
        <v>-12161.647808684684</v>
      </c>
      <c r="BL31" s="226">
        <f t="shared" si="24"/>
        <v>-7009.1473879415971</v>
      </c>
      <c r="BM31" s="226">
        <f t="shared" si="24"/>
        <v>1519.3451788971336</v>
      </c>
      <c r="BN31" s="226">
        <f t="shared" si="24"/>
        <v>7010.0775023364122</v>
      </c>
      <c r="BO31" s="226">
        <f t="shared" si="24"/>
        <v>5956.6512266887976</v>
      </c>
      <c r="BP31" s="226">
        <f t="shared" si="24"/>
        <v>10179.277595235846</v>
      </c>
      <c r="BQ31" s="226">
        <f t="shared" si="24"/>
        <v>14550.222298314759</v>
      </c>
      <c r="BR31" s="226">
        <f t="shared" si="24"/>
        <v>21522.165070707502</v>
      </c>
      <c r="BS31" s="226">
        <f t="shared" si="24"/>
        <v>29490.073113968487</v>
      </c>
      <c r="BT31" s="226">
        <f t="shared" si="24"/>
        <v>36001.267248747943</v>
      </c>
      <c r="BU31" s="226">
        <f t="shared" si="24"/>
        <v>38158.316959357238</v>
      </c>
      <c r="BV31" s="226">
        <f t="shared" si="24"/>
        <v>-6304.6484786151386</v>
      </c>
      <c r="BW31" s="226">
        <f t="shared" si="24"/>
        <v>-13252.552504247111</v>
      </c>
      <c r="BX31" s="226">
        <f t="shared" si="24"/>
        <v>-7759.9479236050765</v>
      </c>
      <c r="BY31" s="226">
        <f t="shared" ref="BY31:CT31" si="25">BY4+BY6</f>
        <v>1532.950041353329</v>
      </c>
      <c r="BZ31" s="226">
        <f t="shared" si="25"/>
        <v>7254.6165517669242</v>
      </c>
      <c r="CA31" s="226">
        <f t="shared" si="25"/>
        <v>6131.3358084073907</v>
      </c>
      <c r="CB31" s="226">
        <f t="shared" si="25"/>
        <v>10637.532372245567</v>
      </c>
      <c r="CC31" s="226">
        <f t="shared" si="25"/>
        <v>15292.050665050972</v>
      </c>
      <c r="CD31" s="226">
        <f t="shared" si="25"/>
        <v>22724.281076605374</v>
      </c>
      <c r="CE31" s="226">
        <f t="shared" si="25"/>
        <v>31223.164437646588</v>
      </c>
      <c r="CF31" s="226">
        <f t="shared" si="25"/>
        <v>38159.310941596603</v>
      </c>
      <c r="CG31" s="226">
        <f t="shared" si="25"/>
        <v>40458.579445595467</v>
      </c>
      <c r="CH31" s="226">
        <f t="shared" si="25"/>
        <v>-6955.138288831602</v>
      </c>
      <c r="CI31" s="226">
        <f t="shared" si="25"/>
        <v>-14449.640313976322</v>
      </c>
      <c r="CJ31" s="226">
        <f t="shared" si="25"/>
        <v>-8606.6597319857647</v>
      </c>
      <c r="CK31" s="226">
        <f t="shared" si="25"/>
        <v>1537.8167296329764</v>
      </c>
      <c r="CL31" s="226">
        <f t="shared" si="25"/>
        <v>7472.4102869650524</v>
      </c>
      <c r="CM31" s="226">
        <f t="shared" si="25"/>
        <v>6243.7164649461729</v>
      </c>
      <c r="CN31" s="226">
        <f t="shared" si="25"/>
        <v>11072.667704159223</v>
      </c>
      <c r="CO31" s="226">
        <f t="shared" si="25"/>
        <v>16014.726126472644</v>
      </c>
      <c r="CP31" s="226">
        <f t="shared" si="25"/>
        <v>23921.28514970994</v>
      </c>
      <c r="CQ31" s="226">
        <f t="shared" si="25"/>
        <v>32969.184469592859</v>
      </c>
      <c r="CR31" s="226">
        <f t="shared" si="25"/>
        <v>40342.199179847354</v>
      </c>
      <c r="CS31" s="226">
        <f t="shared" si="25"/>
        <v>42779.353037143439</v>
      </c>
      <c r="CT31" s="226">
        <f t="shared" si="25"/>
        <v>-7845.9742921495344</v>
      </c>
      <c r="CU31" s="226">
        <f t="shared" ref="CU31:DF31" si="26">CU4+CU6</f>
        <v>-15874.269449581281</v>
      </c>
      <c r="CV31" s="226">
        <f t="shared" si="26"/>
        <v>-9654.5980619763886</v>
      </c>
      <c r="CW31" s="226">
        <f t="shared" si="26"/>
        <v>1150.9647883982175</v>
      </c>
      <c r="CX31" s="226">
        <f t="shared" si="26"/>
        <v>7886.5186360513171</v>
      </c>
      <c r="CY31" s="226">
        <f t="shared" si="26"/>
        <v>6238.0435056877795</v>
      </c>
      <c r="CZ31" s="226">
        <f t="shared" si="26"/>
        <v>11383.67325459474</v>
      </c>
      <c r="DA31" s="226">
        <f t="shared" si="26"/>
        <v>16638.881765840113</v>
      </c>
      <c r="DB31" s="226">
        <f t="shared" si="26"/>
        <v>25056.083294596567</v>
      </c>
      <c r="DC31" s="226">
        <f t="shared" si="26"/>
        <v>34693.615056831943</v>
      </c>
      <c r="DD31" s="226">
        <f t="shared" si="26"/>
        <v>42537.748044763677</v>
      </c>
      <c r="DE31" s="226">
        <f t="shared" si="26"/>
        <v>45130.001913359403</v>
      </c>
      <c r="DF31" s="226">
        <f t="shared" si="26"/>
        <v>-8870.7661483193097</v>
      </c>
      <c r="DG31" s="226">
        <f t="shared" ref="DG31:ED31" si="27">DG4+DG6</f>
        <v>-17479.592737660299</v>
      </c>
      <c r="DH31" s="226">
        <f t="shared" si="27"/>
        <v>-10862.066974798165</v>
      </c>
      <c r="DI31" s="226">
        <f t="shared" si="27"/>
        <v>641.93320471677305</v>
      </c>
      <c r="DJ31" s="226">
        <f t="shared" si="27"/>
        <v>8274.2985748212832</v>
      </c>
      <c r="DK31" s="226">
        <f t="shared" si="27"/>
        <v>6141.6244749067964</v>
      </c>
      <c r="DL31" s="226">
        <f t="shared" si="27"/>
        <v>11621.814837410053</v>
      </c>
      <c r="DM31" s="226">
        <f t="shared" si="27"/>
        <v>17207.701994689065</v>
      </c>
      <c r="DN31" s="226">
        <f t="shared" si="27"/>
        <v>26164.315138034613</v>
      </c>
      <c r="DO31" s="226">
        <f t="shared" si="27"/>
        <v>36424.74354205931</v>
      </c>
      <c r="DP31" s="226">
        <f t="shared" si="27"/>
        <v>44766.51166652159</v>
      </c>
      <c r="DQ31" s="226">
        <f t="shared" si="27"/>
        <v>47522.392633704847</v>
      </c>
      <c r="DR31" s="226">
        <f t="shared" si="27"/>
        <v>-10056.556313097026</v>
      </c>
      <c r="DS31" s="226">
        <f t="shared" si="27"/>
        <v>-19281.941924123355</v>
      </c>
      <c r="DT31" s="226">
        <f t="shared" si="27"/>
        <v>-12244.290889391397</v>
      </c>
      <c r="DU31" s="226">
        <f t="shared" si="27"/>
        <v>-2.526801522981259</v>
      </c>
      <c r="DV31" s="226">
        <f t="shared" si="27"/>
        <v>8633.0181251162339</v>
      </c>
      <c r="DW31" s="226">
        <f t="shared" si="27"/>
        <v>5943.9409107584506</v>
      </c>
      <c r="DX31" s="226">
        <f t="shared" si="27"/>
        <v>11734.524883455922</v>
      </c>
      <c r="DY31" s="226">
        <f t="shared" si="27"/>
        <v>17673.359301978398</v>
      </c>
      <c r="DZ31" s="226">
        <f t="shared" si="27"/>
        <v>27203.511744844564</v>
      </c>
      <c r="EA31" s="226">
        <f t="shared" si="27"/>
        <v>38125.716263700764</v>
      </c>
      <c r="EB31" s="226">
        <f t="shared" si="27"/>
        <v>46996.905280028208</v>
      </c>
      <c r="EC31" s="226">
        <f t="shared" si="27"/>
        <v>49929.259877833181</v>
      </c>
      <c r="ED31" s="226">
        <f t="shared" si="27"/>
        <v>-11438.709732962408</v>
      </c>
    </row>
    <row r="32" spans="2:134" s="60" customFormat="1" ht="12.6" customHeight="1">
      <c r="B32" s="135" t="s">
        <v>2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f t="shared" ref="J32:AC32" si="28">I32+J31</f>
        <v>0</v>
      </c>
      <c r="K32" s="96">
        <f t="shared" si="28"/>
        <v>0</v>
      </c>
      <c r="L32" s="96">
        <f t="shared" si="28"/>
        <v>-3603.1122600000003</v>
      </c>
      <c r="M32" s="96">
        <f t="shared" si="28"/>
        <v>-3603.1122600000003</v>
      </c>
      <c r="N32" s="96">
        <f t="shared" si="28"/>
        <v>-4709.4774829124999</v>
      </c>
      <c r="O32" s="96">
        <f t="shared" si="28"/>
        <v>-31733.806282912497</v>
      </c>
      <c r="P32" s="96">
        <f t="shared" si="28"/>
        <v>-47963.649187483818</v>
      </c>
      <c r="Q32" s="96">
        <f t="shared" si="28"/>
        <v>-48545.448292480469</v>
      </c>
      <c r="R32" s="96">
        <f t="shared" si="28"/>
        <v>-95019.884906093474</v>
      </c>
      <c r="S32" s="96">
        <f t="shared" si="28"/>
        <v>-103046.90399070116</v>
      </c>
      <c r="T32" s="96">
        <f t="shared" si="28"/>
        <v>-104073.55476073413</v>
      </c>
      <c r="U32" s="96">
        <f t="shared" si="28"/>
        <v>-104957.53888420577</v>
      </c>
      <c r="V32" s="96">
        <f t="shared" si="28"/>
        <v>-105304.2677705321</v>
      </c>
      <c r="W32" s="96">
        <f t="shared" si="28"/>
        <v>-120883.53531149231</v>
      </c>
      <c r="X32" s="96">
        <f t="shared" si="28"/>
        <v>-174626.07578827126</v>
      </c>
      <c r="Y32" s="96">
        <f t="shared" si="28"/>
        <v>-179383.02365678552</v>
      </c>
      <c r="Z32" s="96">
        <f t="shared" si="28"/>
        <v>-189725.58671119867</v>
      </c>
      <c r="AA32" s="96">
        <f t="shared" si="28"/>
        <v>-200005.98858500205</v>
      </c>
      <c r="AB32" s="96">
        <f t="shared" si="28"/>
        <v>-207956.11747770707</v>
      </c>
      <c r="AC32" s="96">
        <f t="shared" si="28"/>
        <v>-236174.85767680829</v>
      </c>
      <c r="AD32" s="96">
        <f>AC32+AD31</f>
        <v>-231328.48294188667</v>
      </c>
      <c r="AE32" s="96">
        <f t="shared" ref="AE32:AX32" si="29">AD32+AE31</f>
        <v>-228102.94452931223</v>
      </c>
      <c r="AF32" s="96">
        <f t="shared" si="29"/>
        <v>-230874.35205665795</v>
      </c>
      <c r="AG32" s="96">
        <f t="shared" si="29"/>
        <v>-230257.29479940649</v>
      </c>
      <c r="AH32" s="96">
        <f t="shared" si="29"/>
        <v>-224175.33122555661</v>
      </c>
      <c r="AI32" s="96">
        <f t="shared" si="29"/>
        <v>-211856.60649943358</v>
      </c>
      <c r="AJ32" s="96">
        <f t="shared" si="29"/>
        <v>-194419.47722302045</v>
      </c>
      <c r="AK32" s="96">
        <f t="shared" si="29"/>
        <v>-166087.19693416142</v>
      </c>
      <c r="AL32" s="96">
        <f t="shared" si="29"/>
        <v>-171770.90586651323</v>
      </c>
      <c r="AM32" s="96">
        <f t="shared" si="29"/>
        <v>-183131.98988339902</v>
      </c>
      <c r="AN32" s="96">
        <f t="shared" si="29"/>
        <v>-189971.25418787121</v>
      </c>
      <c r="AO32" s="96">
        <f t="shared" si="29"/>
        <v>-188978.83995846135</v>
      </c>
      <c r="AP32" s="96">
        <f t="shared" si="29"/>
        <v>-181134.43751672588</v>
      </c>
      <c r="AQ32" s="96">
        <f t="shared" si="29"/>
        <v>-174408.00015205194</v>
      </c>
      <c r="AR32" s="96">
        <f t="shared" si="29"/>
        <v>-173475.03825408808</v>
      </c>
      <c r="AS32" s="96">
        <f t="shared" si="29"/>
        <v>-168026.41695928725</v>
      </c>
      <c r="AT32" s="96">
        <f t="shared" si="29"/>
        <v>-155274.52888595057</v>
      </c>
      <c r="AU32" s="96">
        <f t="shared" si="29"/>
        <v>-134164.47260315772</v>
      </c>
      <c r="AV32" s="96">
        <f t="shared" si="29"/>
        <v>-109461.25471297</v>
      </c>
      <c r="AW32" s="96">
        <f t="shared" si="29"/>
        <v>-76772.031945904222</v>
      </c>
      <c r="AX32" s="96">
        <f t="shared" si="29"/>
        <v>-83208.909170283267</v>
      </c>
      <c r="AY32" s="96">
        <f t="shared" ref="AY32" si="30">AX32+AY31</f>
        <v>-94873.646804902935</v>
      </c>
      <c r="AZ32" s="96">
        <f t="shared" ref="AZ32" si="31">AY32+AZ31</f>
        <v>-101710.1777867308</v>
      </c>
      <c r="BA32" s="96">
        <f t="shared" ref="BA32" si="32">AZ32+BA31</f>
        <v>-100390.20243444561</v>
      </c>
      <c r="BB32" s="96">
        <f t="shared" ref="BB32" si="33">BA32+BB31</f>
        <v>-94046.891317335496</v>
      </c>
      <c r="BC32" s="96">
        <f t="shared" ref="BC32" si="34">BB32+BC31</f>
        <v>-88693.660816097778</v>
      </c>
      <c r="BD32" s="96">
        <f t="shared" ref="BD32" si="35">BC32+BD31</f>
        <v>-88813.384078971314</v>
      </c>
      <c r="BE32" s="96">
        <f t="shared" ref="BE32" si="36">BD32+BE31</f>
        <v>-84921.591606340575</v>
      </c>
      <c r="BF32" s="96">
        <f t="shared" ref="BF32" si="37">BE32+BF31</f>
        <v>-74538.491727878893</v>
      </c>
      <c r="BG32" s="96">
        <f t="shared" ref="BG32" si="38">BF32+BG31</f>
        <v>-56733.870770326481</v>
      </c>
      <c r="BH32" s="96">
        <f t="shared" ref="BH32" si="39">BG32+BH31</f>
        <v>-32863.083328545647</v>
      </c>
      <c r="BI32" s="96">
        <f t="shared" ref="BI32" si="40">BH32+BI31</f>
        <v>2454.9637403924789</v>
      </c>
      <c r="BJ32" s="96">
        <f t="shared" ref="BJ32" si="41">BI32+BJ31</f>
        <v>-3928.9766671717771</v>
      </c>
      <c r="BK32" s="96">
        <f t="shared" ref="BK32" si="42">BJ32+BK31</f>
        <v>-16090.624475856461</v>
      </c>
      <c r="BL32" s="96">
        <f t="shared" ref="BL32" si="43">BK32+BL31</f>
        <v>-23099.771863798058</v>
      </c>
      <c r="BM32" s="96">
        <f t="shared" ref="BM32" si="44">BL32+BM31</f>
        <v>-21580.426684900925</v>
      </c>
      <c r="BN32" s="96">
        <f t="shared" ref="BN32" si="45">BM32+BN31</f>
        <v>-14570.349182564514</v>
      </c>
      <c r="BO32" s="96">
        <f t="shared" ref="BO32" si="46">BN32+BO31</f>
        <v>-8613.6979558757157</v>
      </c>
      <c r="BP32" s="96">
        <f t="shared" ref="BP32" si="47">BO32+BP31</f>
        <v>1565.5796393601304</v>
      </c>
      <c r="BQ32" s="96">
        <f t="shared" ref="BQ32" si="48">BP32+BQ31</f>
        <v>16115.801937674889</v>
      </c>
      <c r="BR32" s="96">
        <f t="shared" ref="BR32" si="49">BQ32+BR31</f>
        <v>37637.967008382388</v>
      </c>
      <c r="BS32" s="96">
        <f t="shared" ref="BS32" si="50">BR32+BS31</f>
        <v>67128.040122350882</v>
      </c>
      <c r="BT32" s="96">
        <f t="shared" ref="BT32" si="51">BS32+BT31</f>
        <v>103129.30737109882</v>
      </c>
      <c r="BU32" s="96">
        <f t="shared" ref="BU32" si="52">BT32+BU31</f>
        <v>141287.62433045608</v>
      </c>
      <c r="BV32" s="96">
        <f t="shared" ref="BV32" si="53">BU32+BV31</f>
        <v>134982.97585184095</v>
      </c>
      <c r="BW32" s="96">
        <f t="shared" ref="BW32" si="54">BV32+BW31</f>
        <v>121730.42334759384</v>
      </c>
      <c r="BX32" s="96">
        <f t="shared" ref="BX32" si="55">BW32+BX31</f>
        <v>113970.47542398876</v>
      </c>
      <c r="BY32" s="96">
        <f t="shared" ref="BY32" si="56">BX32+BY31</f>
        <v>115503.42546534208</v>
      </c>
      <c r="BZ32" s="96">
        <f t="shared" ref="BZ32" si="57">BY32+BZ31</f>
        <v>122758.04201710901</v>
      </c>
      <c r="CA32" s="96">
        <f t="shared" ref="CA32" si="58">BZ32+CA31</f>
        <v>128889.37782551639</v>
      </c>
      <c r="CB32" s="96">
        <f t="shared" ref="CB32" si="59">CA32+CB31</f>
        <v>139526.91019776196</v>
      </c>
      <c r="CC32" s="96">
        <f t="shared" ref="CC32" si="60">CB32+CC31</f>
        <v>154818.96086281294</v>
      </c>
      <c r="CD32" s="96">
        <f t="shared" ref="CD32" si="61">CC32+CD31</f>
        <v>177543.24193941831</v>
      </c>
      <c r="CE32" s="96">
        <f t="shared" ref="CE32" si="62">CD32+CE31</f>
        <v>208766.40637706491</v>
      </c>
      <c r="CF32" s="96">
        <f t="shared" ref="CF32" si="63">CE32+CF31</f>
        <v>246925.71731866151</v>
      </c>
      <c r="CG32" s="96">
        <f t="shared" ref="CG32" si="64">CF32+CG31</f>
        <v>287384.29676425696</v>
      </c>
      <c r="CH32" s="96">
        <f t="shared" ref="CH32" si="65">CG32+CH31</f>
        <v>280429.15847542533</v>
      </c>
      <c r="CI32" s="96">
        <f t="shared" ref="CI32" si="66">CH32+CI31</f>
        <v>265979.518161449</v>
      </c>
      <c r="CJ32" s="96">
        <f t="shared" ref="CJ32" si="67">CI32+CJ31</f>
        <v>257372.85842946323</v>
      </c>
      <c r="CK32" s="96">
        <f t="shared" ref="CK32" si="68">CJ32+CK31</f>
        <v>258910.67515909619</v>
      </c>
      <c r="CL32" s="96">
        <f t="shared" ref="CL32" si="69">CK32+CL31</f>
        <v>266383.08544606122</v>
      </c>
      <c r="CM32" s="96">
        <f t="shared" ref="CM32" si="70">CL32+CM31</f>
        <v>272626.80191100738</v>
      </c>
      <c r="CN32" s="96">
        <f t="shared" ref="CN32" si="71">CM32+CN31</f>
        <v>283699.4696151666</v>
      </c>
      <c r="CO32" s="96">
        <f t="shared" ref="CO32" si="72">CN32+CO31</f>
        <v>299714.19574163924</v>
      </c>
      <c r="CP32" s="96">
        <f t="shared" ref="CP32" si="73">CO32+CP31</f>
        <v>323635.4808913492</v>
      </c>
      <c r="CQ32" s="96">
        <f t="shared" ref="CQ32" si="74">CP32+CQ31</f>
        <v>356604.66536094208</v>
      </c>
      <c r="CR32" s="96">
        <f t="shared" ref="CR32" si="75">CQ32+CR31</f>
        <v>396946.86454078945</v>
      </c>
      <c r="CS32" s="96">
        <f t="shared" ref="CS32" si="76">CR32+CS31</f>
        <v>439726.21757793287</v>
      </c>
      <c r="CT32" s="96">
        <f t="shared" ref="CT32" si="77">CS32+CT31</f>
        <v>431880.24328578333</v>
      </c>
      <c r="CU32" s="96">
        <f t="shared" ref="CU32" si="78">CT32+CU31</f>
        <v>416005.97383620206</v>
      </c>
      <c r="CV32" s="96">
        <f t="shared" ref="CV32" si="79">CU32+CV31</f>
        <v>406351.37577422569</v>
      </c>
      <c r="CW32" s="96">
        <f t="shared" ref="CW32" si="80">CV32+CW31</f>
        <v>407502.34056262393</v>
      </c>
      <c r="CX32" s="96">
        <f t="shared" ref="CX32" si="81">CW32+CX31</f>
        <v>415388.85919867526</v>
      </c>
      <c r="CY32" s="96">
        <f t="shared" ref="CY32" si="82">CX32+CY31</f>
        <v>421626.90270436305</v>
      </c>
      <c r="CZ32" s="96">
        <f t="shared" ref="CZ32" si="83">CY32+CZ31</f>
        <v>433010.57595895778</v>
      </c>
      <c r="DA32" s="96">
        <f t="shared" ref="DA32" si="84">CZ32+DA31</f>
        <v>449649.45772479789</v>
      </c>
      <c r="DB32" s="96">
        <f t="shared" ref="DB32" si="85">DA32+DB31</f>
        <v>474705.54101939447</v>
      </c>
      <c r="DC32" s="96">
        <f t="shared" ref="DC32" si="86">DB32+DC31</f>
        <v>509399.15607622638</v>
      </c>
      <c r="DD32" s="96">
        <f t="shared" ref="DD32" si="87">DC32+DD31</f>
        <v>551936.90412099008</v>
      </c>
      <c r="DE32" s="96">
        <f t="shared" ref="DE32" si="88">DD32+DE31</f>
        <v>597066.90603434946</v>
      </c>
      <c r="DF32" s="96">
        <f t="shared" ref="DF32" si="89">DE32+DF31</f>
        <v>588196.13988603011</v>
      </c>
      <c r="DG32" s="96">
        <f t="shared" ref="DG32" si="90">DF32+DG31</f>
        <v>570716.54714836983</v>
      </c>
      <c r="DH32" s="96">
        <f t="shared" ref="DH32" si="91">DG32+DH31</f>
        <v>559854.48017357162</v>
      </c>
      <c r="DI32" s="96">
        <f t="shared" ref="DI32" si="92">DH32+DI31</f>
        <v>560496.41337828839</v>
      </c>
      <c r="DJ32" s="96">
        <f t="shared" ref="DJ32" si="93">DI32+DJ31</f>
        <v>568770.71195310971</v>
      </c>
      <c r="DK32" s="96">
        <f t="shared" ref="DK32" si="94">DJ32+DK31</f>
        <v>574912.33642801654</v>
      </c>
      <c r="DL32" s="96">
        <f t="shared" ref="DL32" si="95">DK32+DL31</f>
        <v>586534.15126542654</v>
      </c>
      <c r="DM32" s="96">
        <f t="shared" ref="DM32" si="96">DL32+DM31</f>
        <v>603741.8532601156</v>
      </c>
      <c r="DN32" s="96">
        <f t="shared" ref="DN32" si="97">DM32+DN31</f>
        <v>629906.16839815024</v>
      </c>
      <c r="DO32" s="96">
        <f t="shared" ref="DO32" si="98">DN32+DO31</f>
        <v>666330.91194020957</v>
      </c>
      <c r="DP32" s="96">
        <f t="shared" ref="DP32" si="99">DO32+DP31</f>
        <v>711097.42360673111</v>
      </c>
      <c r="DQ32" s="96">
        <f t="shared" ref="DQ32" si="100">DP32+DQ31</f>
        <v>758619.81624043593</v>
      </c>
      <c r="DR32" s="96">
        <f t="shared" ref="DR32" si="101">DQ32+DR31</f>
        <v>748563.25992733892</v>
      </c>
      <c r="DS32" s="96">
        <f t="shared" ref="DS32" si="102">DR32+DS31</f>
        <v>729281.31800321559</v>
      </c>
      <c r="DT32" s="96">
        <f t="shared" ref="DT32" si="103">DS32+DT31</f>
        <v>717037.02711382415</v>
      </c>
      <c r="DU32" s="96">
        <f t="shared" ref="DU32" si="104">DT32+DU31</f>
        <v>717034.50031230121</v>
      </c>
      <c r="DV32" s="96">
        <f t="shared" ref="DV32" si="105">DU32+DV31</f>
        <v>725667.51843741746</v>
      </c>
      <c r="DW32" s="96">
        <f t="shared" ref="DW32" si="106">DV32+DW31</f>
        <v>731611.45934817591</v>
      </c>
      <c r="DX32" s="96">
        <f t="shared" ref="DX32" si="107">DW32+DX31</f>
        <v>743345.98423163185</v>
      </c>
      <c r="DY32" s="96">
        <f t="shared" ref="DY32" si="108">DX32+DY31</f>
        <v>761019.34353361023</v>
      </c>
      <c r="DZ32" s="96">
        <f t="shared" ref="DZ32" si="109">DY32+DZ31</f>
        <v>788222.85527845484</v>
      </c>
      <c r="EA32" s="96">
        <f t="shared" ref="EA32" si="110">DZ32+EA31</f>
        <v>826348.57154215558</v>
      </c>
      <c r="EB32" s="96">
        <f t="shared" ref="EB32" si="111">EA32+EB31</f>
        <v>873345.47682218382</v>
      </c>
      <c r="EC32" s="96">
        <f t="shared" ref="EC32" si="112">EB32+EC31</f>
        <v>923274.73670001701</v>
      </c>
      <c r="ED32" s="96">
        <f t="shared" ref="ED32" si="113">EC32+ED31</f>
        <v>911836.02696705458</v>
      </c>
    </row>
    <row r="33" spans="2:134" s="60" customFormat="1" ht="12.6" customHeight="1">
      <c r="B33" s="138" t="s">
        <v>56</v>
      </c>
      <c r="C33" s="72">
        <v>0</v>
      </c>
      <c r="D33" s="72">
        <f>C34</f>
        <v>0</v>
      </c>
      <c r="E33" s="72">
        <f t="shared" ref="E33:X33" si="114">D34</f>
        <v>0</v>
      </c>
      <c r="F33" s="72">
        <f t="shared" si="114"/>
        <v>0</v>
      </c>
      <c r="G33" s="72">
        <f t="shared" si="114"/>
        <v>0</v>
      </c>
      <c r="H33" s="72">
        <f t="shared" si="114"/>
        <v>0</v>
      </c>
      <c r="I33" s="72">
        <f t="shared" si="114"/>
        <v>0</v>
      </c>
      <c r="J33" s="72">
        <f t="shared" si="114"/>
        <v>0</v>
      </c>
      <c r="K33" s="72">
        <f t="shared" si="114"/>
        <v>0</v>
      </c>
      <c r="L33" s="72">
        <f t="shared" si="114"/>
        <v>0</v>
      </c>
      <c r="M33" s="72">
        <f t="shared" si="114"/>
        <v>0</v>
      </c>
      <c r="N33" s="72">
        <f t="shared" si="114"/>
        <v>0</v>
      </c>
      <c r="O33" s="72">
        <f t="shared" si="114"/>
        <v>0</v>
      </c>
      <c r="P33" s="72">
        <f t="shared" si="114"/>
        <v>0</v>
      </c>
      <c r="Q33" s="72">
        <f t="shared" si="114"/>
        <v>0</v>
      </c>
      <c r="R33" s="72">
        <f t="shared" si="114"/>
        <v>0</v>
      </c>
      <c r="S33" s="72">
        <f t="shared" si="114"/>
        <v>0</v>
      </c>
      <c r="T33" s="72">
        <f t="shared" si="114"/>
        <v>0</v>
      </c>
      <c r="U33" s="72">
        <f t="shared" si="114"/>
        <v>0</v>
      </c>
      <c r="V33" s="72">
        <f t="shared" si="114"/>
        <v>0</v>
      </c>
      <c r="W33" s="72">
        <f t="shared" si="114"/>
        <v>5.6843418860808015E-14</v>
      </c>
      <c r="X33" s="72">
        <f t="shared" si="114"/>
        <v>5.6843418860808015E-14</v>
      </c>
      <c r="Y33" s="72">
        <f t="shared" ref="Y33:AC33" si="115">X34</f>
        <v>7.3328010330442339E-12</v>
      </c>
      <c r="Z33" s="72">
        <f t="shared" si="115"/>
        <v>7.3328010330442339E-12</v>
      </c>
      <c r="AA33" s="72">
        <f t="shared" si="115"/>
        <v>476.71885589104659</v>
      </c>
      <c r="AB33" s="72">
        <f t="shared" si="115"/>
        <v>253.91155425647554</v>
      </c>
      <c r="AC33" s="72">
        <f t="shared" si="115"/>
        <v>4427.3582951458293</v>
      </c>
      <c r="AD33" s="72">
        <f>AC34</f>
        <v>23.535051510860569</v>
      </c>
      <c r="AE33" s="72">
        <f t="shared" ref="AE33" si="116">AD34</f>
        <v>2821.2885213225031</v>
      </c>
      <c r="AF33" s="72">
        <f t="shared" ref="AF33" si="117">AE34</f>
        <v>3988.3321011560593</v>
      </c>
      <c r="AG33" s="72">
        <f t="shared" ref="AG33" si="118">AF34</f>
        <v>7603.3529809506081</v>
      </c>
      <c r="AH33" s="72">
        <f t="shared" ref="AH33" si="119">AG34</f>
        <v>14779.314954386504</v>
      </c>
      <c r="AI33" s="72">
        <f t="shared" ref="AI33" si="120">AH34</f>
        <v>27407.413220007151</v>
      </c>
      <c r="AJ33" s="72">
        <f t="shared" ref="AJ33" si="121">AI34</f>
        <v>46259.439339861616</v>
      </c>
      <c r="AK33" s="72">
        <f t="shared" ref="AK33" si="122">AJ34</f>
        <v>70216.973099496056</v>
      </c>
      <c r="AL33" s="72">
        <f t="shared" ref="AL33" si="123">AK34</f>
        <v>95746.395013385656</v>
      </c>
      <c r="AM33" s="72">
        <f t="shared" ref="AM33" si="124">AL34</f>
        <v>87246.802546206265</v>
      </c>
      <c r="AN33" s="72">
        <f t="shared" ref="AN33" si="125">AM34</f>
        <v>73056.745193791401</v>
      </c>
      <c r="AO33" s="72">
        <f t="shared" ref="AO33" si="126">AN34</f>
        <v>63375.352765467607</v>
      </c>
      <c r="AP33" s="72">
        <f t="shared" ref="AP33" si="127">AO34</f>
        <v>61512.418746290641</v>
      </c>
      <c r="AQ33" s="72">
        <f t="shared" ref="AQ33" si="128">AP34</f>
        <v>66488.187127473109</v>
      </c>
      <c r="AR33" s="72">
        <f t="shared" ref="AR33" si="129">AQ34</f>
        <v>70332.638579539329</v>
      </c>
      <c r="AS33" s="72">
        <f t="shared" ref="AS33" si="130">AR34</f>
        <v>77670.529162828883</v>
      </c>
      <c r="AT33" s="72">
        <f t="shared" ref="AT33" si="131">AS34</f>
        <v>89711.292038589105</v>
      </c>
      <c r="AU33" s="72">
        <f t="shared" ref="AU33" si="132">AT34</f>
        <v>109038.7535030748</v>
      </c>
      <c r="AV33" s="72">
        <f t="shared" ref="AV33" si="133">AU34</f>
        <v>136707.73522715771</v>
      </c>
      <c r="AW33" s="72">
        <f t="shared" ref="AW33" si="134">AV34</f>
        <v>167953.15043541969</v>
      </c>
      <c r="AX33" s="72">
        <f t="shared" ref="AX33" si="135">AW34</f>
        <v>196926.42961451816</v>
      </c>
      <c r="AY33" s="72">
        <f t="shared" ref="AY33" si="136">AX34</f>
        <v>186756.71908302078</v>
      </c>
      <c r="AZ33" s="72">
        <f t="shared" ref="AZ33" si="137">AY34</f>
        <v>171342.17699486975</v>
      </c>
      <c r="BA33" s="72">
        <f t="shared" ref="BA33" si="138">AZ34</f>
        <v>160738.78856315985</v>
      </c>
      <c r="BB33" s="72">
        <f t="shared" ref="BB33" si="139">BA34</f>
        <v>158274.77119422168</v>
      </c>
      <c r="BC33" s="72">
        <f t="shared" ref="BC33" si="140">BB34</f>
        <v>160816.87161633169</v>
      </c>
      <c r="BD33" s="72">
        <f t="shared" ref="BD33" si="141">BC34</f>
        <v>162351.59031650593</v>
      </c>
      <c r="BE33" s="72">
        <f t="shared" ref="BE33" si="142">BD34</f>
        <v>168626.33671143162</v>
      </c>
      <c r="BF33" s="72">
        <f t="shared" ref="BF33" si="143">BE34</f>
        <v>179115.89785609767</v>
      </c>
      <c r="BG33" s="72">
        <f t="shared" ref="BG33" si="144">BF34</f>
        <v>196075.89561254426</v>
      </c>
      <c r="BH33" s="72">
        <f t="shared" ref="BH33" si="145">BG34</f>
        <v>220436.44526131297</v>
      </c>
      <c r="BI33" s="72">
        <f t="shared" ref="BI33" si="146">BH34</f>
        <v>250842.09331765128</v>
      </c>
      <c r="BJ33" s="72">
        <f t="shared" ref="BJ33" si="147">BI34</f>
        <v>281408.36812148202</v>
      </c>
      <c r="BK33" s="72">
        <f t="shared" ref="BK33" si="148">BJ34</f>
        <v>270251.38808995998</v>
      </c>
      <c r="BL33" s="72">
        <f t="shared" ref="BL33" si="149">BK34</f>
        <v>253295.33290067807</v>
      </c>
      <c r="BM33" s="72">
        <f t="shared" ref="BM33" si="150">BL34</f>
        <v>241470.30946956313</v>
      </c>
      <c r="BN33" s="72">
        <f t="shared" ref="BN33" si="151">BM34</f>
        <v>238152.20852584188</v>
      </c>
      <c r="BO33" s="72">
        <f t="shared" ref="BO33" si="152">BN34</f>
        <v>240303.16789551248</v>
      </c>
      <c r="BP33" s="72">
        <f t="shared" ref="BP33" si="153">BO34</f>
        <v>241378.92653233459</v>
      </c>
      <c r="BQ33" s="72">
        <f t="shared" ref="BQ33" si="154">BP34</f>
        <v>246655.43411396403</v>
      </c>
      <c r="BR33" s="72">
        <f t="shared" ref="BR33" si="155">BQ34</f>
        <v>256280.90548615705</v>
      </c>
      <c r="BS33" s="72">
        <f t="shared" ref="BS33" si="156">BR34</f>
        <v>272856.23470434704</v>
      </c>
      <c r="BT33" s="72">
        <f t="shared" ref="BT33" si="157">BS34</f>
        <v>297377.28249753185</v>
      </c>
      <c r="BU33" s="72">
        <f t="shared" ref="BU33" si="158">BT34</f>
        <v>328387.22988446738</v>
      </c>
      <c r="BV33" s="72">
        <f t="shared" ref="BV33" si="159">BU34</f>
        <v>361531.82683440903</v>
      </c>
      <c r="BW33" s="72">
        <f t="shared" ref="BW33" si="160">BV34</f>
        <v>350190.95205545222</v>
      </c>
      <c r="BX33" s="72">
        <f t="shared" ref="BX33" si="161">BW34</f>
        <v>331879.56027691142</v>
      </c>
      <c r="BY33" s="72">
        <f t="shared" ref="BY33" si="162">BX34</f>
        <v>319038.05287935975</v>
      </c>
      <c r="BZ33" s="72">
        <f t="shared" ref="BZ33" si="163">BY34</f>
        <v>315466.61547574855</v>
      </c>
      <c r="CA33" s="72">
        <f t="shared" ref="CA33" si="164">BZ34</f>
        <v>317593.90829149605</v>
      </c>
      <c r="CB33" s="72">
        <f t="shared" ref="CB33" si="165">CA34</f>
        <v>318574.87520109524</v>
      </c>
      <c r="CC33" s="72">
        <f t="shared" ref="CC33" si="166">CB34</f>
        <v>324038.88408526964</v>
      </c>
      <c r="CD33" s="72">
        <f t="shared" ref="CD33" si="167">CC34</f>
        <v>334134.14668871049</v>
      </c>
      <c r="CE33" s="72">
        <f t="shared" ref="CE33" si="168">CD34</f>
        <v>351638.26458500954</v>
      </c>
      <c r="CF33" s="72">
        <f t="shared" ref="CF33" si="169">CE34</f>
        <v>377617.77961451694</v>
      </c>
      <c r="CG33" s="72">
        <f t="shared" ref="CG33" si="170">CF34</f>
        <v>410509.84324390878</v>
      </c>
      <c r="CH33" s="72">
        <f t="shared" ref="CH33" si="171">CG34</f>
        <v>445677.46522677044</v>
      </c>
      <c r="CI33" s="72">
        <f t="shared" ref="CI33" si="172">CH34</f>
        <v>436096.65864452312</v>
      </c>
      <c r="CJ33" s="72">
        <f t="shared" ref="CJ33" si="173">CI34</f>
        <v>419010.65273948893</v>
      </c>
      <c r="CK33" s="72">
        <f t="shared" ref="CK33" si="174">CJ34</f>
        <v>407756.88653668837</v>
      </c>
      <c r="CL33" s="72">
        <f t="shared" ref="CL33" si="175">CK34</f>
        <v>406636.8121560759</v>
      </c>
      <c r="CM33" s="72">
        <f t="shared" ref="CM33" si="176">CL34</f>
        <v>411440.50275540893</v>
      </c>
      <c r="CN33" s="72">
        <f t="shared" ref="CN33" si="177">CM34</f>
        <v>415004.62683837186</v>
      </c>
      <c r="CO33" s="72">
        <f t="shared" ref="CO33" si="178">CN34</f>
        <v>424242.23912299745</v>
      </c>
      <c r="CP33" s="72">
        <f t="shared" ref="CP33" si="179">CO34</f>
        <v>438414.4335870074</v>
      </c>
      <c r="CQ33" s="72">
        <f t="shared" ref="CQ33" si="180">CP34</f>
        <v>460485.68037218653</v>
      </c>
      <c r="CR33" s="72">
        <f t="shared" ref="CR33" si="181">CQ34</f>
        <v>491597.28919194697</v>
      </c>
      <c r="CS33" s="72">
        <f t="shared" ref="CS33" si="182">CR34</f>
        <v>530074.34472882701</v>
      </c>
      <c r="CT33" s="72">
        <f t="shared" ref="CT33" si="183">CS34</f>
        <v>570980.95529692736</v>
      </c>
      <c r="CU33" s="72">
        <f t="shared" ref="CU33" si="184">CT34</f>
        <v>561254.60875110095</v>
      </c>
      <c r="CV33" s="72">
        <f t="shared" ref="CV33" si="185">CU34</f>
        <v>543492.30617852206</v>
      </c>
      <c r="CW33" s="72">
        <f t="shared" ref="CW33" si="186">CV34</f>
        <v>531941.98291289737</v>
      </c>
      <c r="CX33" s="72">
        <f t="shared" ref="CX33" si="187">CW34</f>
        <v>531189.49907850777</v>
      </c>
      <c r="CY33" s="72">
        <f t="shared" ref="CY33" si="188">CX34</f>
        <v>537164.8142064662</v>
      </c>
      <c r="CZ33" s="72">
        <f t="shared" ref="CZ33" si="189">CY34</f>
        <v>541483.86772439338</v>
      </c>
      <c r="DA33" s="72">
        <f t="shared" ref="DA33" si="190">CZ34</f>
        <v>551881.73213733174</v>
      </c>
      <c r="DB33" s="72">
        <f t="shared" ref="DB33" si="191">DA34</f>
        <v>567530.7887542675</v>
      </c>
      <c r="DC33" s="72">
        <f t="shared" ref="DC33" si="192">DB34</f>
        <v>591593.0142297789</v>
      </c>
      <c r="DD33" s="72">
        <f t="shared" ref="DD33" si="193">DC34</f>
        <v>625288.72236774734</v>
      </c>
      <c r="DE33" s="72">
        <f t="shared" ref="DE33" si="194">DD34</f>
        <v>666824.49789733556</v>
      </c>
      <c r="DF33" s="72">
        <f t="shared" ref="DF33" si="195">DE34</f>
        <v>710948.44513546478</v>
      </c>
      <c r="DG33" s="72">
        <f t="shared" ref="DG33" si="196">DF34</f>
        <v>701067.5255206353</v>
      </c>
      <c r="DH33" s="72">
        <f t="shared" ref="DH33" si="197">DG34</f>
        <v>682573.66382620181</v>
      </c>
      <c r="DI33" s="72">
        <f t="shared" ref="DI33" si="198">DH34</f>
        <v>670693.19563735055</v>
      </c>
      <c r="DJ33" s="72">
        <f t="shared" ref="DJ33" si="199">DI34</f>
        <v>670312.57853540685</v>
      </c>
      <c r="DK33" s="72">
        <f t="shared" ref="DK33" si="200">DJ34</f>
        <v>677560.16080704343</v>
      </c>
      <c r="DL33" s="72">
        <f t="shared" ref="DL33" si="201">DK34</f>
        <v>682670.88600945554</v>
      </c>
      <c r="DM33" s="72">
        <f t="shared" ref="DM33" si="202">DL34</f>
        <v>694292.70084686554</v>
      </c>
      <c r="DN33" s="72">
        <f t="shared" ref="DN33" si="203">DM34</f>
        <v>711500.40284155461</v>
      </c>
      <c r="DO33" s="72">
        <f t="shared" ref="DO33" si="204">DN34</f>
        <v>737664.71797958924</v>
      </c>
      <c r="DP33" s="72">
        <f t="shared" ref="DP33" si="205">DO34</f>
        <v>774089.46152164857</v>
      </c>
      <c r="DQ33" s="72">
        <f t="shared" ref="DQ33" si="206">DP34</f>
        <v>818855.97318817012</v>
      </c>
      <c r="DR33" s="72">
        <f t="shared" ref="DR33" si="207">DQ34</f>
        <v>866378.36582187493</v>
      </c>
      <c r="DS33" s="72">
        <f t="shared" ref="DS33" si="208">DR34</f>
        <v>856321.80950877792</v>
      </c>
      <c r="DT33" s="72">
        <f t="shared" ref="DT33" si="209">DS34</f>
        <v>837039.8675846546</v>
      </c>
      <c r="DU33" s="72">
        <f t="shared" ref="DU33" si="210">DT34</f>
        <v>824795.57669526315</v>
      </c>
      <c r="DV33" s="72">
        <f t="shared" ref="DV33" si="211">DU34</f>
        <v>824793.04989374022</v>
      </c>
      <c r="DW33" s="72">
        <f t="shared" ref="DW33" si="212">DV34</f>
        <v>833426.06801885646</v>
      </c>
      <c r="DX33" s="72">
        <f t="shared" ref="DX33" si="213">DW34</f>
        <v>839370.00892961491</v>
      </c>
      <c r="DY33" s="72">
        <f t="shared" ref="DY33" si="214">DX34</f>
        <v>851104.53381307086</v>
      </c>
      <c r="DZ33" s="72">
        <f t="shared" ref="DZ33" si="215">DY34</f>
        <v>868777.89311504923</v>
      </c>
      <c r="EA33" s="72">
        <f t="shared" ref="EA33" si="216">DZ34</f>
        <v>895981.40485989384</v>
      </c>
      <c r="EB33" s="72">
        <f t="shared" ref="EB33" si="217">EA34</f>
        <v>934107.12112359458</v>
      </c>
      <c r="EC33" s="72">
        <f t="shared" ref="EC33" si="218">EB34</f>
        <v>981104.02640362282</v>
      </c>
      <c r="ED33" s="72">
        <f t="shared" ref="ED33" si="219">EC34</f>
        <v>1031033.286281456</v>
      </c>
    </row>
    <row r="34" spans="2:134" s="60" customFormat="1" ht="12.6" customHeight="1">
      <c r="B34" s="138" t="s">
        <v>57</v>
      </c>
      <c r="C34" s="138">
        <f>C4+C6+C18+C33-C26-C27-C28-C29-C30</f>
        <v>0</v>
      </c>
      <c r="D34" s="138">
        <f t="shared" ref="D34:V34" si="220">D4+D6+D18+D33-D26-D27-D28-D29-D30</f>
        <v>0</v>
      </c>
      <c r="E34" s="138">
        <f t="shared" si="220"/>
        <v>0</v>
      </c>
      <c r="F34" s="138">
        <f t="shared" si="220"/>
        <v>0</v>
      </c>
      <c r="G34" s="138">
        <f t="shared" si="220"/>
        <v>0</v>
      </c>
      <c r="H34" s="138">
        <f t="shared" si="220"/>
        <v>0</v>
      </c>
      <c r="I34" s="138">
        <f t="shared" si="220"/>
        <v>0</v>
      </c>
      <c r="J34" s="138">
        <f t="shared" si="220"/>
        <v>0</v>
      </c>
      <c r="K34" s="138">
        <f t="shared" si="220"/>
        <v>0</v>
      </c>
      <c r="L34" s="138">
        <f t="shared" si="220"/>
        <v>0</v>
      </c>
      <c r="M34" s="138">
        <f t="shared" si="220"/>
        <v>0</v>
      </c>
      <c r="N34" s="138">
        <f t="shared" si="220"/>
        <v>0</v>
      </c>
      <c r="O34" s="138">
        <f t="shared" si="220"/>
        <v>0</v>
      </c>
      <c r="P34" s="138">
        <f t="shared" si="220"/>
        <v>0</v>
      </c>
      <c r="Q34" s="138">
        <f t="shared" si="220"/>
        <v>0</v>
      </c>
      <c r="R34" s="138">
        <f t="shared" si="220"/>
        <v>0</v>
      </c>
      <c r="S34" s="138">
        <f>S4+S6+S18+S33-S26-S27-S28-S29-S30</f>
        <v>0</v>
      </c>
      <c r="T34" s="138">
        <f t="shared" si="220"/>
        <v>0</v>
      </c>
      <c r="U34" s="138">
        <f t="shared" si="220"/>
        <v>0</v>
      </c>
      <c r="V34" s="138">
        <f t="shared" si="220"/>
        <v>5.6843418860808015E-14</v>
      </c>
      <c r="W34" s="138">
        <f t="shared" ref="W34" si="221">W4+W6+W18+W33-W26-W27-W28-W29-W30</f>
        <v>5.6843418860808015E-14</v>
      </c>
      <c r="X34" s="138">
        <f t="shared" ref="X34" si="222">X4+X6+X18+X33-X26-X27-X28-X29-X30</f>
        <v>7.3328010330442339E-12</v>
      </c>
      <c r="Y34" s="138">
        <f t="shared" ref="Y34" si="223">Y4+Y6+Y18+Y33-Y26-Y27-Y28-Y29-Y30</f>
        <v>7.3328010330442339E-12</v>
      </c>
      <c r="Z34" s="138">
        <f t="shared" ref="Z34" si="224">Z4+Z6+Z18+Z33-Z26-Z27-Z28-Z29-Z30</f>
        <v>476.71885589104659</v>
      </c>
      <c r="AA34" s="138">
        <f t="shared" ref="AA34" si="225">AA4+AA6+AA18+AA33-AA26-AA27-AA28-AA29-AA30</f>
        <v>253.91155425647554</v>
      </c>
      <c r="AB34" s="138">
        <f t="shared" ref="AB34" si="226">AB4+AB6+AB18+AB33-AB26-AB27-AB28-AB29-AB30</f>
        <v>4427.3582951458293</v>
      </c>
      <c r="AC34" s="138">
        <f t="shared" ref="AC34" si="227">AC4+AC6+AC18+AC33-AC26-AC27-AC28-AC29-AC30</f>
        <v>23.535051510860569</v>
      </c>
      <c r="AD34" s="138">
        <f t="shared" ref="AD34" si="228">AD4+AD6+AD18+AD33-AD26-AD27-AD28-AD29-AD30</f>
        <v>2821.2885213225031</v>
      </c>
      <c r="AE34" s="138">
        <f t="shared" ref="AE34" si="229">AE4+AE6+AE18+AE33-AE26-AE27-AE28-AE29-AE30</f>
        <v>3988.3321011560593</v>
      </c>
      <c r="AF34" s="138">
        <f t="shared" ref="AF34" si="230">AF4+AF6+AF18+AF33-AF26-AF27-AF28-AF29-AF30</f>
        <v>7603.3529809506081</v>
      </c>
      <c r="AG34" s="138">
        <f t="shared" ref="AG34" si="231">AG4+AG6+AG18+AG33-AG26-AG27-AG28-AG29-AG30</f>
        <v>14779.314954386504</v>
      </c>
      <c r="AH34" s="138">
        <f t="shared" ref="AH34" si="232">AH4+AH6+AH18+AH33-AH26-AH27-AH28-AH29-AH30</f>
        <v>27407.413220007151</v>
      </c>
      <c r="AI34" s="138">
        <f t="shared" ref="AI34" si="233">AI4+AI6+AI18+AI33-AI26-AI27-AI28-AI29-AI30</f>
        <v>46259.439339861616</v>
      </c>
      <c r="AJ34" s="138">
        <f t="shared" ref="AJ34" si="234">AJ4+AJ6+AJ18+AJ33-AJ26-AJ27-AJ28-AJ29-AJ30</f>
        <v>70216.973099496056</v>
      </c>
      <c r="AK34" s="138">
        <f t="shared" ref="AK34" si="235">AK4+AK6+AK18+AK33-AK26-AK27-AK28-AK29-AK30</f>
        <v>95746.395013385656</v>
      </c>
      <c r="AL34" s="138">
        <f t="shared" ref="AL34" si="236">AL4+AL6+AL18+AL33-AL26-AL27-AL28-AL29-AL30</f>
        <v>87246.802546206265</v>
      </c>
      <c r="AM34" s="138">
        <f t="shared" ref="AM34" si="237">AM4+AM6+AM18+AM33-AM26-AM27-AM28-AM29-AM30</f>
        <v>73056.745193791401</v>
      </c>
      <c r="AN34" s="138">
        <f t="shared" ref="AN34:AO34" si="238">AN4+AN6+AN18+AN33-AN26-AN27-AN28-AN29-AN30</f>
        <v>63375.352765467607</v>
      </c>
      <c r="AO34" s="138">
        <f t="shared" si="238"/>
        <v>61512.418746290641</v>
      </c>
      <c r="AP34" s="138">
        <f t="shared" ref="AP34" si="239">AP4+AP6+AP18+AP33-AP26-AP27-AP28-AP29-AP30</f>
        <v>66488.187127473109</v>
      </c>
      <c r="AQ34" s="138">
        <f t="shared" ref="AQ34" si="240">AQ4+AQ6+AQ18+AQ33-AQ26-AQ27-AQ28-AQ29-AQ30</f>
        <v>70332.638579539329</v>
      </c>
      <c r="AR34" s="138">
        <f t="shared" ref="AR34" si="241">AR4+AR6+AR18+AR33-AR26-AR27-AR28-AR29-AR30</f>
        <v>77670.529162828883</v>
      </c>
      <c r="AS34" s="138">
        <f t="shared" ref="AS34" si="242">AS4+AS6+AS18+AS33-AS26-AS27-AS28-AS29-AS30</f>
        <v>89711.292038589105</v>
      </c>
      <c r="AT34" s="138">
        <f t="shared" ref="AT34" si="243">AT4+AT6+AT18+AT33-AT26-AT27-AT28-AT29-AT30</f>
        <v>109038.7535030748</v>
      </c>
      <c r="AU34" s="138">
        <f t="shared" ref="AU34" si="244">AU4+AU6+AU18+AU33-AU26-AU27-AU28-AU29-AU30</f>
        <v>136707.73522715771</v>
      </c>
      <c r="AV34" s="138">
        <f t="shared" ref="AV34" si="245">AV4+AV6+AV18+AV33-AV26-AV27-AV28-AV29-AV30</f>
        <v>167953.15043541969</v>
      </c>
      <c r="AW34" s="138">
        <f t="shared" ref="AW34" si="246">AW4+AW6+AW18+AW33-AW26-AW27-AW28-AW29-AW30</f>
        <v>196926.42961451816</v>
      </c>
      <c r="AX34" s="138">
        <f t="shared" ref="AX34" si="247">AX4+AX6+AX18+AX33-AX26-AX27-AX28-AX29-AX30</f>
        <v>186756.71908302078</v>
      </c>
      <c r="AY34" s="138">
        <f t="shared" ref="AY34" si="248">AY4+AY6+AY18+AY33-AY26-AY27-AY28-AY29-AY30</f>
        <v>171342.17699486975</v>
      </c>
      <c r="AZ34" s="138">
        <f t="shared" ref="AZ34" si="249">AZ4+AZ6+AZ18+AZ33-AZ26-AZ27-AZ28-AZ29-AZ30</f>
        <v>160738.78856315985</v>
      </c>
      <c r="BA34" s="138">
        <f t="shared" ref="BA34" si="250">BA4+BA6+BA18+BA33-BA26-BA27-BA28-BA29-BA30</f>
        <v>158274.77119422168</v>
      </c>
      <c r="BB34" s="138">
        <f t="shared" ref="BB34" si="251">BB4+BB6+BB18+BB33-BB26-BB27-BB28-BB29-BB30</f>
        <v>160816.87161633169</v>
      </c>
      <c r="BC34" s="138">
        <f t="shared" ref="BC34" si="252">BC4+BC6+BC18+BC33-BC26-BC27-BC28-BC29-BC30</f>
        <v>162351.59031650593</v>
      </c>
      <c r="BD34" s="138">
        <f t="shared" ref="BD34" si="253">BD4+BD6+BD18+BD33-BD26-BD27-BD28-BD29-BD30</f>
        <v>168626.33671143162</v>
      </c>
      <c r="BE34" s="138">
        <f t="shared" ref="BE34" si="254">BE4+BE6+BE18+BE33-BE26-BE27-BE28-BE29-BE30</f>
        <v>179115.89785609767</v>
      </c>
      <c r="BF34" s="138">
        <f t="shared" ref="BF34" si="255">BF4+BF6+BF18+BF33-BF26-BF27-BF28-BF29-BF30</f>
        <v>196075.89561254426</v>
      </c>
      <c r="BG34" s="138">
        <f t="shared" ref="BG34:BH34" si="256">BG4+BG6+BG18+BG33-BG26-BG27-BG28-BG29-BG30</f>
        <v>220436.44526131297</v>
      </c>
      <c r="BH34" s="138">
        <f t="shared" si="256"/>
        <v>250842.09331765128</v>
      </c>
      <c r="BI34" s="138">
        <f t="shared" ref="BI34" si="257">BI4+BI6+BI18+BI33-BI26-BI27-BI28-BI29-BI30</f>
        <v>281408.36812148202</v>
      </c>
      <c r="BJ34" s="138">
        <f t="shared" ref="BJ34" si="258">BJ4+BJ6+BJ18+BJ33-BJ26-BJ27-BJ28-BJ29-BJ30</f>
        <v>270251.38808995998</v>
      </c>
      <c r="BK34" s="138">
        <f t="shared" ref="BK34" si="259">BK4+BK6+BK18+BK33-BK26-BK27-BK28-BK29-BK30</f>
        <v>253295.33290067807</v>
      </c>
      <c r="BL34" s="138">
        <f t="shared" ref="BL34" si="260">BL4+BL6+BL18+BL33-BL26-BL27-BL28-BL29-BL30</f>
        <v>241470.30946956313</v>
      </c>
      <c r="BM34" s="138">
        <f t="shared" ref="BM34" si="261">BM4+BM6+BM18+BM33-BM26-BM27-BM28-BM29-BM30</f>
        <v>238152.20852584188</v>
      </c>
      <c r="BN34" s="138">
        <f t="shared" ref="BN34" si="262">BN4+BN6+BN18+BN33-BN26-BN27-BN28-BN29-BN30</f>
        <v>240303.16789551248</v>
      </c>
      <c r="BO34" s="138">
        <f t="shared" ref="BO34" si="263">BO4+BO6+BO18+BO33-BO26-BO27-BO28-BO29-BO30</f>
        <v>241378.92653233459</v>
      </c>
      <c r="BP34" s="138">
        <f t="shared" ref="BP34" si="264">BP4+BP6+BP18+BP33-BP26-BP27-BP28-BP29-BP30</f>
        <v>246655.43411396403</v>
      </c>
      <c r="BQ34" s="138">
        <f t="shared" ref="BQ34" si="265">BQ4+BQ6+BQ18+BQ33-BQ26-BQ27-BQ28-BQ29-BQ30</f>
        <v>256280.90548615705</v>
      </c>
      <c r="BR34" s="138">
        <f t="shared" ref="BR34" si="266">BR4+BR6+BR18+BR33-BR26-BR27-BR28-BR29-BR30</f>
        <v>272856.23470434704</v>
      </c>
      <c r="BS34" s="138">
        <f t="shared" ref="BS34" si="267">BS4+BS6+BS18+BS33-BS26-BS27-BS28-BS29-BS30</f>
        <v>297377.28249753185</v>
      </c>
      <c r="BT34" s="138">
        <f t="shared" ref="BT34" si="268">BT4+BT6+BT18+BT33-BT26-BT27-BT28-BT29-BT30</f>
        <v>328387.22988446738</v>
      </c>
      <c r="BU34" s="138">
        <f t="shared" ref="BU34" si="269">BU4+BU6+BU18+BU33-BU26-BU27-BU28-BU29-BU30</f>
        <v>361531.82683440903</v>
      </c>
      <c r="BV34" s="138">
        <f t="shared" ref="BV34" si="270">BV4+BV6+BV18+BV33-BV26-BV27-BV28-BV29-BV30</f>
        <v>350190.95205545222</v>
      </c>
      <c r="BW34" s="138">
        <f>BW4+BW6+BW18+BW33-BW26-BW27-BW28-BW29-BW30</f>
        <v>331879.56027691142</v>
      </c>
      <c r="BX34" s="138">
        <f t="shared" ref="BX34" si="271">BX4+BX6+BX18+BX33-BX26-BX27-BX28-BX29-BX30</f>
        <v>319038.05287935975</v>
      </c>
      <c r="BY34" s="138">
        <f t="shared" ref="BY34" si="272">BY4+BY6+BY18+BY33-BY26-BY27-BY28-BY29-BY30</f>
        <v>315466.61547574855</v>
      </c>
      <c r="BZ34" s="138">
        <f t="shared" ref="BZ34:CA34" si="273">BZ4+BZ6+BZ18+BZ33-BZ26-BZ27-BZ28-BZ29-BZ30</f>
        <v>317593.90829149605</v>
      </c>
      <c r="CA34" s="138">
        <f t="shared" si="273"/>
        <v>318574.87520109524</v>
      </c>
      <c r="CB34" s="138">
        <f t="shared" ref="CB34" si="274">CB4+CB6+CB18+CB33-CB26-CB27-CB28-CB29-CB30</f>
        <v>324038.88408526964</v>
      </c>
      <c r="CC34" s="138">
        <f t="shared" ref="CC34" si="275">CC4+CC6+CC18+CC33-CC26-CC27-CC28-CC29-CC30</f>
        <v>334134.14668871049</v>
      </c>
      <c r="CD34" s="138">
        <f t="shared" ref="CD34" si="276">CD4+CD6+CD18+CD33-CD26-CD27-CD28-CD29-CD30</f>
        <v>351638.26458500954</v>
      </c>
      <c r="CE34" s="138">
        <f t="shared" ref="CE34" si="277">CE4+CE6+CE18+CE33-CE26-CE27-CE28-CE29-CE30</f>
        <v>377617.77961451694</v>
      </c>
      <c r="CF34" s="138">
        <f t="shared" ref="CF34" si="278">CF4+CF6+CF18+CF33-CF26-CF27-CF28-CF29-CF30</f>
        <v>410509.84324390878</v>
      </c>
      <c r="CG34" s="138">
        <f t="shared" ref="CG34" si="279">CG4+CG6+CG18+CG33-CG26-CG27-CG28-CG29-CG30</f>
        <v>445677.46522677044</v>
      </c>
      <c r="CH34" s="138">
        <f t="shared" ref="CH34" si="280">CH4+CH6+CH18+CH33-CH26-CH27-CH28-CH29-CH30</f>
        <v>436096.65864452312</v>
      </c>
      <c r="CI34" s="138">
        <f t="shared" ref="CI34" si="281">CI4+CI6+CI18+CI33-CI26-CI27-CI28-CI29-CI30</f>
        <v>419010.65273948893</v>
      </c>
      <c r="CJ34" s="138">
        <f t="shared" ref="CJ34" si="282">CJ4+CJ6+CJ18+CJ33-CJ26-CJ27-CJ28-CJ29-CJ30</f>
        <v>407756.88653668837</v>
      </c>
      <c r="CK34" s="138">
        <f t="shared" ref="CK34" si="283">CK4+CK6+CK18+CK33-CK26-CK27-CK28-CK29-CK30</f>
        <v>406636.8121560759</v>
      </c>
      <c r="CL34" s="138">
        <f t="shared" ref="CL34" si="284">CL4+CL6+CL18+CL33-CL26-CL27-CL28-CL29-CL30</f>
        <v>411440.50275540893</v>
      </c>
      <c r="CM34" s="138">
        <f t="shared" ref="CM34" si="285">CM4+CM6+CM18+CM33-CM26-CM27-CM28-CM29-CM30</f>
        <v>415004.62683837186</v>
      </c>
      <c r="CN34" s="138">
        <f t="shared" ref="CN34" si="286">CN4+CN6+CN18+CN33-CN26-CN27-CN28-CN29-CN30</f>
        <v>424242.23912299745</v>
      </c>
      <c r="CO34" s="138">
        <f t="shared" ref="CO34" si="287">CO4+CO6+CO18+CO33-CO26-CO27-CO28-CO29-CO30</f>
        <v>438414.4335870074</v>
      </c>
      <c r="CP34" s="138">
        <f t="shared" ref="CP34" si="288">CP4+CP6+CP18+CP33-CP26-CP27-CP28-CP29-CP30</f>
        <v>460485.68037218653</v>
      </c>
      <c r="CQ34" s="138">
        <f t="shared" ref="CQ34" si="289">CQ4+CQ6+CQ18+CQ33-CQ26-CQ27-CQ28-CQ29-CQ30</f>
        <v>491597.28919194697</v>
      </c>
      <c r="CR34" s="138">
        <f t="shared" ref="CR34" si="290">CR4+CR6+CR18+CR33-CR26-CR27-CR28-CR29-CR30</f>
        <v>530074.34472882701</v>
      </c>
      <c r="CS34" s="138">
        <f t="shared" ref="CS34:CT34" si="291">CS4+CS6+CS18+CS33-CS26-CS27-CS28-CS29-CS30</f>
        <v>570980.95529692736</v>
      </c>
      <c r="CT34" s="138">
        <f t="shared" si="291"/>
        <v>561254.60875110095</v>
      </c>
      <c r="CU34" s="138">
        <f t="shared" ref="CU34" si="292">CU4+CU6+CU18+CU33-CU26-CU27-CU28-CU29-CU30</f>
        <v>543492.30617852206</v>
      </c>
      <c r="CV34" s="138">
        <f t="shared" ref="CV34" si="293">CV4+CV6+CV18+CV33-CV26-CV27-CV28-CV29-CV30</f>
        <v>531941.98291289737</v>
      </c>
      <c r="CW34" s="138">
        <f t="shared" ref="CW34" si="294">CW4+CW6+CW18+CW33-CW26-CW27-CW28-CW29-CW30</f>
        <v>531189.49907850777</v>
      </c>
      <c r="CX34" s="138">
        <f t="shared" ref="CX34" si="295">CX4+CX6+CX18+CX33-CX26-CX27-CX28-CX29-CX30</f>
        <v>537164.8142064662</v>
      </c>
      <c r="CY34" s="138">
        <f t="shared" ref="CY34" si="296">CY4+CY6+CY18+CY33-CY26-CY27-CY28-CY29-CY30</f>
        <v>541483.86772439338</v>
      </c>
      <c r="CZ34" s="138">
        <f t="shared" ref="CZ34" si="297">CZ4+CZ6+CZ18+CZ33-CZ26-CZ27-CZ28-CZ29-CZ30</f>
        <v>551881.73213733174</v>
      </c>
      <c r="DA34" s="138">
        <f t="shared" ref="DA34" si="298">DA4+DA6+DA18+DA33-DA26-DA27-DA28-DA29-DA30</f>
        <v>567530.7887542675</v>
      </c>
      <c r="DB34" s="138">
        <f t="shared" ref="DB34" si="299">DB4+DB6+DB18+DB33-DB26-DB27-DB28-DB29-DB30</f>
        <v>591593.0142297789</v>
      </c>
      <c r="DC34" s="138">
        <f t="shared" ref="DC34" si="300">DC4+DC6+DC18+DC33-DC26-DC27-DC28-DC29-DC30</f>
        <v>625288.72236774734</v>
      </c>
      <c r="DD34" s="138">
        <f t="shared" ref="DD34" si="301">DD4+DD6+DD18+DD33-DD26-DD27-DD28-DD29-DD30</f>
        <v>666824.49789733556</v>
      </c>
      <c r="DE34" s="138">
        <f t="shared" ref="DE34" si="302">DE4+DE6+DE18+DE33-DE26-DE27-DE28-DE29-DE30</f>
        <v>710948.44513546478</v>
      </c>
      <c r="DF34" s="138">
        <f t="shared" ref="DF34" si="303">DF4+DF6+DF18+DF33-DF26-DF27-DF28-DF29-DF30</f>
        <v>701067.5255206353</v>
      </c>
      <c r="DG34" s="138">
        <f t="shared" ref="DG34" si="304">DG4+DG6+DG18+DG33-DG26-DG27-DG28-DG29-DG30</f>
        <v>682573.66382620181</v>
      </c>
      <c r="DH34" s="138">
        <f t="shared" ref="DH34" si="305">DH4+DH6+DH18+DH33-DH26-DH27-DH28-DH29-DH30</f>
        <v>670693.19563735055</v>
      </c>
      <c r="DI34" s="138">
        <f t="shared" ref="DI34" si="306">DI4+DI6+DI18+DI33-DI26-DI27-DI28-DI29-DI30</f>
        <v>670312.57853540685</v>
      </c>
      <c r="DJ34" s="138">
        <f t="shared" ref="DJ34" si="307">DJ4+DJ6+DJ18+DJ33-DJ26-DJ27-DJ28-DJ29-DJ30</f>
        <v>677560.16080704343</v>
      </c>
      <c r="DK34" s="138">
        <f t="shared" ref="DK34" si="308">DK4+DK6+DK18+DK33-DK26-DK27-DK28-DK29-DK30</f>
        <v>682670.88600945554</v>
      </c>
      <c r="DL34" s="138">
        <f t="shared" ref="DL34:DM34" si="309">DL4+DL6+DL18+DL33-DL26-DL27-DL28-DL29-DL30</f>
        <v>694292.70084686554</v>
      </c>
      <c r="DM34" s="138">
        <f t="shared" si="309"/>
        <v>711500.40284155461</v>
      </c>
      <c r="DN34" s="138">
        <f t="shared" ref="DN34" si="310">DN4+DN6+DN18+DN33-DN26-DN27-DN28-DN29-DN30</f>
        <v>737664.71797958924</v>
      </c>
      <c r="DO34" s="138">
        <f t="shared" ref="DO34" si="311">DO4+DO6+DO18+DO33-DO26-DO27-DO28-DO29-DO30</f>
        <v>774089.46152164857</v>
      </c>
      <c r="DP34" s="138">
        <f t="shared" ref="DP34" si="312">DP4+DP6+DP18+DP33-DP26-DP27-DP28-DP29-DP30</f>
        <v>818855.97318817012</v>
      </c>
      <c r="DQ34" s="138">
        <f t="shared" ref="DQ34" si="313">DQ4+DQ6+DQ18+DQ33-DQ26-DQ27-DQ28-DQ29-DQ30</f>
        <v>866378.36582187493</v>
      </c>
      <c r="DR34" s="138">
        <f t="shared" ref="DR34" si="314">DR4+DR6+DR18+DR33-DR26-DR27-DR28-DR29-DR30</f>
        <v>856321.80950877792</v>
      </c>
      <c r="DS34" s="138">
        <f t="shared" ref="DS34" si="315">DS4+DS6+DS18+DS33-DS26-DS27-DS28-DS29-DS30</f>
        <v>837039.8675846546</v>
      </c>
      <c r="DT34" s="138">
        <f t="shared" ref="DT34" si="316">DT4+DT6+DT18+DT33-DT26-DT27-DT28-DT29-DT30</f>
        <v>824795.57669526315</v>
      </c>
      <c r="DU34" s="138">
        <f t="shared" ref="DU34" si="317">DU4+DU6+DU18+DU33-DU26-DU27-DU28-DU29-DU30</f>
        <v>824793.04989374022</v>
      </c>
      <c r="DV34" s="138">
        <f t="shared" ref="DV34" si="318">DV4+DV6+DV18+DV33-DV26-DV27-DV28-DV29-DV30</f>
        <v>833426.06801885646</v>
      </c>
      <c r="DW34" s="138">
        <f t="shared" ref="DW34" si="319">DW4+DW6+DW18+DW33-DW26-DW27-DW28-DW29-DW30</f>
        <v>839370.00892961491</v>
      </c>
      <c r="DX34" s="138">
        <f t="shared" ref="DX34" si="320">DX4+DX6+DX18+DX33-DX26-DX27-DX28-DX29-DX30</f>
        <v>851104.53381307086</v>
      </c>
      <c r="DY34" s="138">
        <f t="shared" ref="DY34" si="321">DY4+DY6+DY18+DY33-DY26-DY27-DY28-DY29-DY30</f>
        <v>868777.89311504923</v>
      </c>
      <c r="DZ34" s="138">
        <f t="shared" ref="DZ34" si="322">DZ4+DZ6+DZ18+DZ33-DZ26-DZ27-DZ28-DZ29-DZ30</f>
        <v>895981.40485989384</v>
      </c>
      <c r="EA34" s="138">
        <f t="shared" ref="EA34" si="323">EA4+EA6+EA18+EA33-EA26-EA27-EA28-EA29-EA30</f>
        <v>934107.12112359458</v>
      </c>
      <c r="EB34" s="138">
        <f t="shared" ref="EB34" si="324">EB4+EB6+EB18+EB33-EB26-EB27-EB28-EB29-EB30</f>
        <v>981104.02640362282</v>
      </c>
      <c r="EC34" s="138">
        <f t="shared" ref="EC34" si="325">EC4+EC6+EC18+EC33-EC26-EC27-EC28-EC29-EC30</f>
        <v>1031033.286281456</v>
      </c>
      <c r="ED34" s="138">
        <f t="shared" ref="ED34" si="326">ED4+ED6+ED18+ED33-ED26-ED27-ED28-ED29-ED30</f>
        <v>1019594.5765484936</v>
      </c>
    </row>
    <row r="35" spans="2:134" s="60" customFormat="1" ht="12.6" customHeight="1">
      <c r="B35" s="225" t="s">
        <v>73</v>
      </c>
      <c r="C35" s="225"/>
      <c r="D35" s="225"/>
      <c r="E35" s="225"/>
      <c r="F35" s="225"/>
      <c r="G35" s="225"/>
      <c r="H35" s="225"/>
      <c r="I35" s="225"/>
      <c r="J35" s="226">
        <f t="shared" ref="J35:AO35" si="327">J31*J52</f>
        <v>0</v>
      </c>
      <c r="K35" s="226">
        <f t="shared" si="327"/>
        <v>0</v>
      </c>
      <c r="L35" s="226">
        <f t="shared" si="327"/>
        <v>-3516.3714584849704</v>
      </c>
      <c r="M35" s="226">
        <f t="shared" si="327"/>
        <v>0</v>
      </c>
      <c r="N35" s="226">
        <f t="shared" si="327"/>
        <v>-1069.2573641353881</v>
      </c>
      <c r="O35" s="226">
        <f t="shared" si="327"/>
        <v>-25990.943248872427</v>
      </c>
      <c r="P35" s="226">
        <f t="shared" si="327"/>
        <v>-15533.339394746894</v>
      </c>
      <c r="Q35" s="226">
        <f t="shared" si="327"/>
        <v>-554.12399255314006</v>
      </c>
      <c r="R35" s="226">
        <f t="shared" si="327"/>
        <v>-44048.531079286462</v>
      </c>
      <c r="S35" s="226">
        <f t="shared" si="327"/>
        <v>-7571.0302710424521</v>
      </c>
      <c r="T35" s="226">
        <f t="shared" si="327"/>
        <v>-963.62224027324282</v>
      </c>
      <c r="U35" s="226">
        <f t="shared" si="327"/>
        <v>-825.68031995016315</v>
      </c>
      <c r="V35" s="226">
        <f t="shared" si="327"/>
        <v>-322.28558681103851</v>
      </c>
      <c r="W35" s="226">
        <f t="shared" si="327"/>
        <v>-14410.57416571475</v>
      </c>
      <c r="X35" s="226">
        <f t="shared" si="327"/>
        <v>-49469.307654359392</v>
      </c>
      <c r="Y35" s="226">
        <f t="shared" si="327"/>
        <v>-4357.4200019732716</v>
      </c>
      <c r="Z35" s="226">
        <f t="shared" si="327"/>
        <v>-9427.8485750248547</v>
      </c>
      <c r="AA35" s="226">
        <f t="shared" si="327"/>
        <v>-9325.6240594026985</v>
      </c>
      <c r="AB35" s="226">
        <f t="shared" si="327"/>
        <v>-7176.7095830923927</v>
      </c>
      <c r="AC35" s="226">
        <f t="shared" si="327"/>
        <v>-25349.664399085344</v>
      </c>
      <c r="AD35" s="226">
        <f t="shared" si="327"/>
        <v>4332.4641278587014</v>
      </c>
      <c r="AE35" s="226">
        <f t="shared" si="327"/>
        <v>2869.4825787133195</v>
      </c>
      <c r="AF35" s="226">
        <f t="shared" si="327"/>
        <v>-2453.4948853007841</v>
      </c>
      <c r="AG35" s="226">
        <f t="shared" si="327"/>
        <v>543.61773883545106</v>
      </c>
      <c r="AH35" s="226">
        <f t="shared" si="327"/>
        <v>5332.0640874546416</v>
      </c>
      <c r="AI35" s="226">
        <f t="shared" si="327"/>
        <v>10747.332546410764</v>
      </c>
      <c r="AJ35" s="226">
        <f t="shared" si="327"/>
        <v>15138.86493990586</v>
      </c>
      <c r="AK35" s="226">
        <f t="shared" si="327"/>
        <v>24478.412400354333</v>
      </c>
      <c r="AL35" s="226">
        <f t="shared" si="327"/>
        <v>-4886.7141720160425</v>
      </c>
      <c r="AM35" s="226">
        <f t="shared" si="327"/>
        <v>-9720.4925200050548</v>
      </c>
      <c r="AN35" s="226">
        <f t="shared" si="327"/>
        <v>-5823.1942416520378</v>
      </c>
      <c r="AO35" s="226">
        <f t="shared" si="327"/>
        <v>840.86884684416555</v>
      </c>
      <c r="AP35" s="226">
        <f t="shared" ref="AP35:BU35" si="328">AP31*AP52</f>
        <v>6614.2184873157858</v>
      </c>
      <c r="AQ35" s="226">
        <f t="shared" si="328"/>
        <v>5644.0020617167565</v>
      </c>
      <c r="AR35" s="226">
        <f t="shared" si="328"/>
        <v>779.02134861836407</v>
      </c>
      <c r="AS35" s="226">
        <f t="shared" si="328"/>
        <v>4527.4687966960091</v>
      </c>
      <c r="AT35" s="226">
        <f t="shared" si="328"/>
        <v>10544.517821702495</v>
      </c>
      <c r="AU35" s="226">
        <f t="shared" si="328"/>
        <v>17371.007780741391</v>
      </c>
      <c r="AV35" s="226">
        <f t="shared" si="328"/>
        <v>20228.912841908525</v>
      </c>
      <c r="AW35" s="226">
        <f t="shared" si="328"/>
        <v>26638.330293915238</v>
      </c>
      <c r="AX35" s="226">
        <f t="shared" si="328"/>
        <v>-5219.8860317237841</v>
      </c>
      <c r="AY35" s="226">
        <f t="shared" si="328"/>
        <v>-9413.3490112681447</v>
      </c>
      <c r="AZ35" s="226">
        <f t="shared" si="328"/>
        <v>-5490.2024952409774</v>
      </c>
      <c r="BA35" s="226">
        <f t="shared" si="328"/>
        <v>1054.8769164771595</v>
      </c>
      <c r="BB35" s="226">
        <f t="shared" si="328"/>
        <v>5044.7002986785756</v>
      </c>
      <c r="BC35" s="226">
        <f t="shared" si="328"/>
        <v>4236.6120011483199</v>
      </c>
      <c r="BD35" s="226">
        <f t="shared" si="328"/>
        <v>-94.289793210967744</v>
      </c>
      <c r="BE35" s="226">
        <f t="shared" si="328"/>
        <v>3050.1359934530651</v>
      </c>
      <c r="BF35" s="226">
        <f t="shared" si="328"/>
        <v>8098.0406364870032</v>
      </c>
      <c r="BG35" s="226">
        <f t="shared" si="328"/>
        <v>13818.759010581234</v>
      </c>
      <c r="BH35" s="226">
        <f t="shared" si="328"/>
        <v>18436.83830677321</v>
      </c>
      <c r="BI35" s="226">
        <f t="shared" si="328"/>
        <v>27145.620474360196</v>
      </c>
      <c r="BJ35" s="226">
        <f t="shared" si="328"/>
        <v>-4882.8716288876558</v>
      </c>
      <c r="BK35" s="226">
        <f t="shared" si="328"/>
        <v>-9256.8301584780438</v>
      </c>
      <c r="BL35" s="226">
        <f t="shared" si="328"/>
        <v>-5309.0700549485427</v>
      </c>
      <c r="BM35" s="226">
        <f t="shared" si="328"/>
        <v>1145.2310290452688</v>
      </c>
      <c r="BN35" s="226">
        <f t="shared" si="328"/>
        <v>5258.2697814264639</v>
      </c>
      <c r="BO35" s="226">
        <f t="shared" si="328"/>
        <v>4446.3700845462508</v>
      </c>
      <c r="BP35" s="226">
        <f t="shared" si="328"/>
        <v>7561.4273532221532</v>
      </c>
      <c r="BQ35" s="226">
        <f t="shared" si="328"/>
        <v>10755.728847844488</v>
      </c>
      <c r="BR35" s="226">
        <f t="shared" si="328"/>
        <v>15832.13794482177</v>
      </c>
      <c r="BS35" s="226">
        <f t="shared" si="328"/>
        <v>21588.021755657388</v>
      </c>
      <c r="BT35" s="226">
        <f t="shared" si="328"/>
        <v>26226.36955906219</v>
      </c>
      <c r="BU35" s="226">
        <f t="shared" si="328"/>
        <v>27662.599564713066</v>
      </c>
      <c r="BV35" s="226">
        <f t="shared" ref="BV35:DA35" si="329">BV31*BV52</f>
        <v>-4548.2889425775038</v>
      </c>
      <c r="BW35" s="226">
        <f t="shared" si="329"/>
        <v>-9514.1521778196657</v>
      </c>
      <c r="BX35" s="226">
        <f t="shared" si="329"/>
        <v>-5543.8664214447999</v>
      </c>
      <c r="BY35" s="226">
        <f t="shared" si="329"/>
        <v>1089.8465225397415</v>
      </c>
      <c r="BZ35" s="226">
        <f t="shared" si="329"/>
        <v>5132.5737009822551</v>
      </c>
      <c r="CA35" s="226">
        <f t="shared" si="329"/>
        <v>4316.7731352452056</v>
      </c>
      <c r="CB35" s="226">
        <f t="shared" si="329"/>
        <v>7452.9534349948426</v>
      </c>
      <c r="CC35" s="226">
        <f t="shared" si="329"/>
        <v>10661.949763679728</v>
      </c>
      <c r="CD35" s="226">
        <f t="shared" si="329"/>
        <v>15766.832238607418</v>
      </c>
      <c r="CE35" s="226">
        <f t="shared" si="329"/>
        <v>21558.304466264777</v>
      </c>
      <c r="CF35" s="226">
        <f t="shared" si="329"/>
        <v>26219.330581584654</v>
      </c>
      <c r="CG35" s="226">
        <f t="shared" si="329"/>
        <v>27664.007653527533</v>
      </c>
      <c r="CH35" s="226">
        <f t="shared" si="329"/>
        <v>-4732.5327288650178</v>
      </c>
      <c r="CI35" s="226">
        <f t="shared" si="329"/>
        <v>-9784.2667362167431</v>
      </c>
      <c r="CJ35" s="226">
        <f t="shared" si="329"/>
        <v>-5799.4828846821283</v>
      </c>
      <c r="CK35" s="226">
        <f t="shared" si="329"/>
        <v>1031.1993001519418</v>
      </c>
      <c r="CL35" s="226">
        <f t="shared" si="329"/>
        <v>4986.3427615953533</v>
      </c>
      <c r="CM35" s="226">
        <f t="shared" si="329"/>
        <v>4146.1783785662792</v>
      </c>
      <c r="CN35" s="226">
        <f t="shared" si="329"/>
        <v>7317.1248763108706</v>
      </c>
      <c r="CO35" s="226">
        <f t="shared" si="329"/>
        <v>10531.521211331703</v>
      </c>
      <c r="CP35" s="226">
        <f t="shared" si="329"/>
        <v>15654.510396823636</v>
      </c>
      <c r="CQ35" s="226">
        <f t="shared" si="329"/>
        <v>21470.718423602211</v>
      </c>
      <c r="CR35" s="226">
        <f t="shared" si="329"/>
        <v>26144.559671167346</v>
      </c>
      <c r="CS35" s="226">
        <f t="shared" si="329"/>
        <v>27589.216387934179</v>
      </c>
      <c r="CT35" s="226">
        <f t="shared" si="329"/>
        <v>-5035.4167997325776</v>
      </c>
      <c r="CU35" s="226">
        <f t="shared" si="329"/>
        <v>-10138.3126959364</v>
      </c>
      <c r="CV35" s="226">
        <f t="shared" si="329"/>
        <v>-6136.0589449165291</v>
      </c>
      <c r="CW35" s="226">
        <f t="shared" si="329"/>
        <v>727.94866328755006</v>
      </c>
      <c r="CX35" s="226">
        <f t="shared" si="329"/>
        <v>4963.7218824852771</v>
      </c>
      <c r="CY35" s="226">
        <f t="shared" si="329"/>
        <v>3907.0943239951162</v>
      </c>
      <c r="CZ35" s="226">
        <f t="shared" si="329"/>
        <v>7095.3089227021401</v>
      </c>
      <c r="DA35" s="226">
        <f t="shared" si="329"/>
        <v>10320.397230501763</v>
      </c>
      <c r="DB35" s="226">
        <f t="shared" ref="DB35:DR35" si="330">DB31*DB52</f>
        <v>15465.674038247787</v>
      </c>
      <c r="DC35" s="226">
        <f t="shared" si="330"/>
        <v>21310.25342671058</v>
      </c>
      <c r="DD35" s="226">
        <f t="shared" si="330"/>
        <v>26001.412676723005</v>
      </c>
      <c r="DE35" s="226">
        <f t="shared" si="330"/>
        <v>27451.823131939385</v>
      </c>
      <c r="DF35" s="226">
        <f t="shared" si="330"/>
        <v>-5369.7041856298347</v>
      </c>
      <c r="DG35" s="226">
        <f t="shared" si="330"/>
        <v>-10529.407435431403</v>
      </c>
      <c r="DH35" s="226">
        <f t="shared" si="330"/>
        <v>-6511.3117376458831</v>
      </c>
      <c r="DI35" s="226">
        <f t="shared" si="330"/>
        <v>382.93868640876997</v>
      </c>
      <c r="DJ35" s="226">
        <f t="shared" si="330"/>
        <v>4911.9504974011206</v>
      </c>
      <c r="DK35" s="226">
        <f t="shared" si="330"/>
        <v>3628.1851550017172</v>
      </c>
      <c r="DL35" s="226">
        <f t="shared" si="330"/>
        <v>6832.2464894728419</v>
      </c>
      <c r="DM35" s="226">
        <f t="shared" si="330"/>
        <v>10066.90200843684</v>
      </c>
      <c r="DN35" s="226">
        <f t="shared" si="330"/>
        <v>15232.308499909586</v>
      </c>
      <c r="DO35" s="226">
        <f t="shared" si="330"/>
        <v>21102.613694245836</v>
      </c>
      <c r="DP35" s="226">
        <f t="shared" si="330"/>
        <v>25809.309815770048</v>
      </c>
      <c r="DQ35" s="226">
        <f t="shared" si="330"/>
        <v>27264.957524618087</v>
      </c>
      <c r="DR35" s="226">
        <f t="shared" si="330"/>
        <v>-5741.682952598183</v>
      </c>
      <c r="DS35" s="226">
        <f t="shared" ref="DS35:ED35" si="331">DS31*DS52</f>
        <v>-10955.295059380942</v>
      </c>
      <c r="DT35" s="226">
        <f t="shared" si="331"/>
        <v>-6922.9363341147264</v>
      </c>
      <c r="DU35" s="226">
        <f t="shared" si="331"/>
        <v>-1.4217106595158679</v>
      </c>
      <c r="DV35" s="226">
        <f t="shared" si="331"/>
        <v>4833.7716800727731</v>
      </c>
      <c r="DW35" s="226">
        <f t="shared" si="331"/>
        <v>3311.9315644775279</v>
      </c>
      <c r="DX35" s="226">
        <f t="shared" si="331"/>
        <v>6506.6249121491774</v>
      </c>
      <c r="DY35" s="226">
        <f t="shared" si="331"/>
        <v>9751.9790319137337</v>
      </c>
      <c r="DZ35" s="226">
        <f t="shared" si="331"/>
        <v>14937.640872527292</v>
      </c>
      <c r="EA35" s="226">
        <f t="shared" si="331"/>
        <v>20833.318080344481</v>
      </c>
      <c r="EB35" s="226">
        <f t="shared" si="331"/>
        <v>25556.012071542522</v>
      </c>
      <c r="EC35" s="226">
        <f t="shared" si="331"/>
        <v>27018.568952242738</v>
      </c>
      <c r="ED35" s="226">
        <f t="shared" si="331"/>
        <v>-6159.8146519360062</v>
      </c>
    </row>
    <row r="36" spans="2:134" s="60" customFormat="1" ht="12.6" customHeight="1">
      <c r="B36" s="139" t="s">
        <v>69</v>
      </c>
      <c r="C36" s="139"/>
      <c r="D36" s="139"/>
      <c r="E36" s="139"/>
      <c r="F36" s="139"/>
      <c r="G36" s="139"/>
      <c r="H36" s="139"/>
      <c r="I36" s="139"/>
      <c r="J36" s="96">
        <f t="shared" ref="J36:AC36" si="332">I36+J35</f>
        <v>0</v>
      </c>
      <c r="K36" s="96">
        <f t="shared" si="332"/>
        <v>0</v>
      </c>
      <c r="L36" s="96">
        <f t="shared" si="332"/>
        <v>-3516.3714584849704</v>
      </c>
      <c r="M36" s="96">
        <f t="shared" si="332"/>
        <v>-3516.3714584849704</v>
      </c>
      <c r="N36" s="96">
        <f t="shared" si="332"/>
        <v>-4585.6288226203587</v>
      </c>
      <c r="O36" s="96">
        <f t="shared" si="332"/>
        <v>-30576.572071492785</v>
      </c>
      <c r="P36" s="96">
        <f t="shared" si="332"/>
        <v>-46109.911466239675</v>
      </c>
      <c r="Q36" s="96">
        <f t="shared" si="332"/>
        <v>-46664.035458792816</v>
      </c>
      <c r="R36" s="96">
        <f t="shared" si="332"/>
        <v>-90712.566538079278</v>
      </c>
      <c r="S36" s="96">
        <f t="shared" si="332"/>
        <v>-98283.596809121736</v>
      </c>
      <c r="T36" s="96">
        <f t="shared" si="332"/>
        <v>-99247.219049394975</v>
      </c>
      <c r="U36" s="96">
        <f t="shared" si="332"/>
        <v>-100072.89936934513</v>
      </c>
      <c r="V36" s="96">
        <f t="shared" si="332"/>
        <v>-100395.18495615617</v>
      </c>
      <c r="W36" s="96">
        <f t="shared" si="332"/>
        <v>-114805.75912187091</v>
      </c>
      <c r="X36" s="96">
        <f t="shared" si="332"/>
        <v>-164275.06677623029</v>
      </c>
      <c r="Y36" s="96">
        <f t="shared" si="332"/>
        <v>-168632.48677820357</v>
      </c>
      <c r="Z36" s="96">
        <f t="shared" si="332"/>
        <v>-178060.33535322844</v>
      </c>
      <c r="AA36" s="96">
        <f t="shared" si="332"/>
        <v>-187385.95941263114</v>
      </c>
      <c r="AB36" s="96">
        <f t="shared" si="332"/>
        <v>-194562.66899572354</v>
      </c>
      <c r="AC36" s="96">
        <f t="shared" si="332"/>
        <v>-219912.33339480887</v>
      </c>
      <c r="AD36" s="96">
        <f>AC36+AD35</f>
        <v>-215579.86926695018</v>
      </c>
      <c r="AE36" s="96">
        <f t="shared" ref="AE36" si="333">AD36+AE35</f>
        <v>-212710.38668823685</v>
      </c>
      <c r="AF36" s="96">
        <f t="shared" ref="AF36" si="334">AE36+AF35</f>
        <v>-215163.88157353763</v>
      </c>
      <c r="AG36" s="96">
        <f t="shared" ref="AG36" si="335">AF36+AG35</f>
        <v>-214620.26383470217</v>
      </c>
      <c r="AH36" s="96">
        <f t="shared" ref="AH36" si="336">AG36+AH35</f>
        <v>-209288.19974724753</v>
      </c>
      <c r="AI36" s="96">
        <f t="shared" ref="AI36" si="337">AH36+AI35</f>
        <v>-198540.86720083677</v>
      </c>
      <c r="AJ36" s="96">
        <f t="shared" ref="AJ36" si="338">AI36+AJ35</f>
        <v>-183402.00226093092</v>
      </c>
      <c r="AK36" s="96">
        <f t="shared" ref="AK36" si="339">AJ36+AK35</f>
        <v>-158923.58986057658</v>
      </c>
      <c r="AL36" s="96">
        <f t="shared" ref="AL36" si="340">AK36+AL35</f>
        <v>-163810.30403259263</v>
      </c>
      <c r="AM36" s="96">
        <f t="shared" ref="AM36" si="341">AL36+AM35</f>
        <v>-173530.79655259769</v>
      </c>
      <c r="AN36" s="96">
        <f t="shared" ref="AN36" si="342">AM36+AN35</f>
        <v>-179353.99079424972</v>
      </c>
      <c r="AO36" s="96">
        <f t="shared" ref="AO36" si="343">AN36+AO35</f>
        <v>-178513.12194740557</v>
      </c>
      <c r="AP36" s="96">
        <f t="shared" ref="AP36" si="344">AO36+AP35</f>
        <v>-171898.90346008979</v>
      </c>
      <c r="AQ36" s="96">
        <f t="shared" ref="AQ36" si="345">AP36+AQ35</f>
        <v>-166254.90139837304</v>
      </c>
      <c r="AR36" s="96">
        <f t="shared" ref="AR36" si="346">AQ36+AR35</f>
        <v>-165475.88004975466</v>
      </c>
      <c r="AS36" s="96">
        <f t="shared" ref="AS36" si="347">AR36+AS35</f>
        <v>-160948.41125305864</v>
      </c>
      <c r="AT36" s="96">
        <f t="shared" ref="AT36" si="348">AS36+AT35</f>
        <v>-150403.89343135615</v>
      </c>
      <c r="AU36" s="96">
        <f t="shared" ref="AU36" si="349">AT36+AU35</f>
        <v>-133032.88565061474</v>
      </c>
      <c r="AV36" s="96">
        <f t="shared" ref="AV36" si="350">AU36+AV35</f>
        <v>-112803.97280870622</v>
      </c>
      <c r="AW36" s="96">
        <f t="shared" ref="AW36" si="351">AV36+AW35</f>
        <v>-86165.64251479099</v>
      </c>
      <c r="AX36" s="96">
        <f t="shared" ref="AX36" si="352">AW36+AX35</f>
        <v>-91385.528546514775</v>
      </c>
      <c r="AY36" s="96">
        <f t="shared" ref="AY36" si="353">AX36+AY35</f>
        <v>-100798.87755778292</v>
      </c>
      <c r="AZ36" s="96">
        <f t="shared" ref="AZ36" si="354">AY36+AZ35</f>
        <v>-106289.08005302391</v>
      </c>
      <c r="BA36" s="96">
        <f t="shared" ref="BA36" si="355">AZ36+BA35</f>
        <v>-105234.20313654674</v>
      </c>
      <c r="BB36" s="96">
        <f t="shared" ref="BB36" si="356">BA36+BB35</f>
        <v>-100189.50283786816</v>
      </c>
      <c r="BC36" s="96">
        <f t="shared" ref="BC36" si="357">BB36+BC35</f>
        <v>-95952.890836719846</v>
      </c>
      <c r="BD36" s="96">
        <f t="shared" ref="BD36" si="358">BC36+BD35</f>
        <v>-96047.180629930808</v>
      </c>
      <c r="BE36" s="96">
        <f t="shared" ref="BE36" si="359">BD36+BE35</f>
        <v>-92997.044636477745</v>
      </c>
      <c r="BF36" s="96">
        <f t="shared" ref="BF36" si="360">BE36+BF35</f>
        <v>-84899.003999990746</v>
      </c>
      <c r="BG36" s="96">
        <f t="shared" ref="BG36" si="361">BF36+BG35</f>
        <v>-71080.244989409519</v>
      </c>
      <c r="BH36" s="96">
        <f t="shared" ref="BH36" si="362">BG36+BH35</f>
        <v>-52643.406682636312</v>
      </c>
      <c r="BI36" s="96">
        <f t="shared" ref="BI36" si="363">BH36+BI35</f>
        <v>-25497.786208276117</v>
      </c>
      <c r="BJ36" s="96">
        <f t="shared" ref="BJ36" si="364">BI36+BJ35</f>
        <v>-30380.657837163773</v>
      </c>
      <c r="BK36" s="96">
        <f t="shared" ref="BK36" si="365">BJ36+BK35</f>
        <v>-39637.487995641815</v>
      </c>
      <c r="BL36" s="96">
        <f t="shared" ref="BL36" si="366">BK36+BL35</f>
        <v>-44946.558050590356</v>
      </c>
      <c r="BM36" s="96">
        <f t="shared" ref="BM36" si="367">BL36+BM35</f>
        <v>-43801.32702154509</v>
      </c>
      <c r="BN36" s="96">
        <f t="shared" ref="BN36" si="368">BM36+BN35</f>
        <v>-38543.057240118629</v>
      </c>
      <c r="BO36" s="96">
        <f t="shared" ref="BO36" si="369">BN36+BO35</f>
        <v>-34096.687155572377</v>
      </c>
      <c r="BP36" s="96">
        <f t="shared" ref="BP36" si="370">BO36+BP35</f>
        <v>-26535.259802350225</v>
      </c>
      <c r="BQ36" s="96">
        <f t="shared" ref="BQ36" si="371">BP36+BQ35</f>
        <v>-15779.530954505737</v>
      </c>
      <c r="BR36" s="96">
        <f t="shared" ref="BR36" si="372">BQ36+BR35</f>
        <v>52.606990316033261</v>
      </c>
      <c r="BS36" s="96">
        <f t="shared" ref="BS36" si="373">BR36+BS35</f>
        <v>21640.628745973423</v>
      </c>
      <c r="BT36" s="96">
        <f t="shared" ref="BT36" si="374">BS36+BT35</f>
        <v>47866.99830503561</v>
      </c>
      <c r="BU36" s="96">
        <f t="shared" ref="BU36" si="375">BT36+BU35</f>
        <v>75529.597869748672</v>
      </c>
      <c r="BV36" s="96">
        <f t="shared" ref="BV36" si="376">BU36+BV35</f>
        <v>70981.308927171165</v>
      </c>
      <c r="BW36" s="96">
        <f t="shared" ref="BW36" si="377">BV36+BW35</f>
        <v>61467.156749351503</v>
      </c>
      <c r="BX36" s="96">
        <f t="shared" ref="BX36" si="378">BW36+BX35</f>
        <v>55923.290327906703</v>
      </c>
      <c r="BY36" s="96">
        <f t="shared" ref="BY36" si="379">BX36+BY35</f>
        <v>57013.136850446448</v>
      </c>
      <c r="BZ36" s="96">
        <f t="shared" ref="BZ36" si="380">BY36+BZ35</f>
        <v>62145.710551428703</v>
      </c>
      <c r="CA36" s="96">
        <f t="shared" ref="CA36" si="381">BZ36+CA35</f>
        <v>66462.483686673906</v>
      </c>
      <c r="CB36" s="96">
        <f t="shared" ref="CB36" si="382">CA36+CB35</f>
        <v>73915.437121668743</v>
      </c>
      <c r="CC36" s="96">
        <f t="shared" ref="CC36" si="383">CB36+CC35</f>
        <v>84577.386885348475</v>
      </c>
      <c r="CD36" s="96">
        <f t="shared" ref="CD36" si="384">CC36+CD35</f>
        <v>100344.21912395589</v>
      </c>
      <c r="CE36" s="96">
        <f t="shared" ref="CE36" si="385">CD36+CE35</f>
        <v>121902.52359022066</v>
      </c>
      <c r="CF36" s="96">
        <f t="shared" ref="CF36" si="386">CE36+CF35</f>
        <v>148121.85417180532</v>
      </c>
      <c r="CG36" s="96">
        <f t="shared" ref="CG36" si="387">CF36+CG35</f>
        <v>175785.86182533286</v>
      </c>
      <c r="CH36" s="96">
        <f t="shared" ref="CH36" si="388">CG36+CH35</f>
        <v>171053.32909646785</v>
      </c>
      <c r="CI36" s="96">
        <f t="shared" ref="CI36" si="389">CH36+CI35</f>
        <v>161269.06236025109</v>
      </c>
      <c r="CJ36" s="96">
        <f t="shared" ref="CJ36" si="390">CI36+CJ35</f>
        <v>155469.57947556896</v>
      </c>
      <c r="CK36" s="96">
        <f t="shared" ref="CK36" si="391">CJ36+CK35</f>
        <v>156500.77877572089</v>
      </c>
      <c r="CL36" s="96">
        <f t="shared" ref="CL36" si="392">CK36+CL35</f>
        <v>161487.12153731624</v>
      </c>
      <c r="CM36" s="96">
        <f t="shared" ref="CM36" si="393">CL36+CM35</f>
        <v>165633.29991588253</v>
      </c>
      <c r="CN36" s="96">
        <f t="shared" ref="CN36" si="394">CM36+CN35</f>
        <v>172950.4247921934</v>
      </c>
      <c r="CO36" s="96">
        <f t="shared" ref="CO36" si="395">CN36+CO35</f>
        <v>183481.94600352511</v>
      </c>
      <c r="CP36" s="96">
        <f t="shared" ref="CP36" si="396">CO36+CP35</f>
        <v>199136.45640034875</v>
      </c>
      <c r="CQ36" s="96">
        <f t="shared" ref="CQ36" si="397">CP36+CQ35</f>
        <v>220607.17482395095</v>
      </c>
      <c r="CR36" s="96">
        <f t="shared" ref="CR36" si="398">CQ36+CR35</f>
        <v>246751.73449511829</v>
      </c>
      <c r="CS36" s="96">
        <f t="shared" ref="CS36" si="399">CR36+CS35</f>
        <v>274340.95088305249</v>
      </c>
      <c r="CT36" s="96">
        <f t="shared" ref="CT36" si="400">CS36+CT35</f>
        <v>269305.53408331989</v>
      </c>
      <c r="CU36" s="96">
        <f t="shared" ref="CU36" si="401">CT36+CU35</f>
        <v>259167.2213873835</v>
      </c>
      <c r="CV36" s="96">
        <f t="shared" ref="CV36" si="402">CU36+CV35</f>
        <v>253031.16244246697</v>
      </c>
      <c r="CW36" s="96">
        <f t="shared" ref="CW36" si="403">CV36+CW35</f>
        <v>253759.11110575453</v>
      </c>
      <c r="CX36" s="96">
        <f t="shared" ref="CX36" si="404">CW36+CX35</f>
        <v>258722.83298823982</v>
      </c>
      <c r="CY36" s="96">
        <f t="shared" ref="CY36" si="405">CX36+CY35</f>
        <v>262629.92731223494</v>
      </c>
      <c r="CZ36" s="96">
        <f t="shared" ref="CZ36" si="406">CY36+CZ35</f>
        <v>269725.2362349371</v>
      </c>
      <c r="DA36" s="96">
        <f t="shared" ref="DA36" si="407">CZ36+DA35</f>
        <v>280045.63346543885</v>
      </c>
      <c r="DB36" s="96">
        <f t="shared" ref="DB36" si="408">DA36+DB35</f>
        <v>295511.30750368664</v>
      </c>
      <c r="DC36" s="96">
        <f t="shared" ref="DC36" si="409">DB36+DC35</f>
        <v>316821.56093039725</v>
      </c>
      <c r="DD36" s="96">
        <f t="shared" ref="DD36" si="410">DC36+DD35</f>
        <v>342822.97360712022</v>
      </c>
      <c r="DE36" s="96">
        <f t="shared" ref="DE36" si="411">DD36+DE35</f>
        <v>370274.79673905962</v>
      </c>
      <c r="DF36" s="96">
        <f t="shared" ref="DF36" si="412">DE36+DF35</f>
        <v>364905.09255342977</v>
      </c>
      <c r="DG36" s="96">
        <f t="shared" ref="DG36" si="413">DF36+DG35</f>
        <v>354375.68511799839</v>
      </c>
      <c r="DH36" s="96">
        <f t="shared" ref="DH36" si="414">DG36+DH35</f>
        <v>347864.37338035251</v>
      </c>
      <c r="DI36" s="96">
        <f t="shared" ref="DI36" si="415">DH36+DI35</f>
        <v>348247.31206676125</v>
      </c>
      <c r="DJ36" s="96">
        <f t="shared" ref="DJ36" si="416">DI36+DJ35</f>
        <v>353159.26256416237</v>
      </c>
      <c r="DK36" s="96">
        <f t="shared" ref="DK36" si="417">DJ36+DK35</f>
        <v>356787.44771916408</v>
      </c>
      <c r="DL36" s="96">
        <f t="shared" ref="DL36" si="418">DK36+DL35</f>
        <v>363619.69420863694</v>
      </c>
      <c r="DM36" s="96">
        <f t="shared" ref="DM36" si="419">DL36+DM35</f>
        <v>373686.59621707379</v>
      </c>
      <c r="DN36" s="96">
        <f t="shared" ref="DN36" si="420">DM36+DN35</f>
        <v>388918.90471698338</v>
      </c>
      <c r="DO36" s="96">
        <f t="shared" ref="DO36" si="421">DN36+DO35</f>
        <v>410021.51841122919</v>
      </c>
      <c r="DP36" s="96">
        <f t="shared" ref="DP36" si="422">DO36+DP35</f>
        <v>435830.82822699926</v>
      </c>
      <c r="DQ36" s="96">
        <f t="shared" ref="DQ36" si="423">DP36+DQ35</f>
        <v>463095.78575161734</v>
      </c>
      <c r="DR36" s="96">
        <f t="shared" ref="DR36" si="424">DQ36+DR35</f>
        <v>457354.10279901914</v>
      </c>
      <c r="DS36" s="96">
        <f t="shared" ref="DS36" si="425">DR36+DS35</f>
        <v>446398.8077396382</v>
      </c>
      <c r="DT36" s="96">
        <f t="shared" ref="DT36" si="426">DS36+DT35</f>
        <v>439475.87140552344</v>
      </c>
      <c r="DU36" s="96">
        <f t="shared" ref="DU36" si="427">DT36+DU35</f>
        <v>439474.44969486393</v>
      </c>
      <c r="DV36" s="96">
        <f t="shared" ref="DV36" si="428">DU36+DV35</f>
        <v>444308.22137493669</v>
      </c>
      <c r="DW36" s="96">
        <f t="shared" ref="DW36" si="429">DV36+DW35</f>
        <v>447620.1529394142</v>
      </c>
      <c r="DX36" s="96">
        <f t="shared" ref="DX36" si="430">DW36+DX35</f>
        <v>454126.77785156335</v>
      </c>
      <c r="DY36" s="96">
        <f t="shared" ref="DY36" si="431">DX36+DY35</f>
        <v>463878.75688347709</v>
      </c>
      <c r="DZ36" s="96">
        <f t="shared" ref="DZ36" si="432">DY36+DZ35</f>
        <v>478816.39775600436</v>
      </c>
      <c r="EA36" s="96">
        <f t="shared" ref="EA36" si="433">DZ36+EA35</f>
        <v>499649.71583634883</v>
      </c>
      <c r="EB36" s="96">
        <f t="shared" ref="EB36" si="434">EA36+EB35</f>
        <v>525205.72790789139</v>
      </c>
      <c r="EC36" s="96">
        <f t="shared" ref="EC36" si="435">EB36+EC35</f>
        <v>552224.29686013411</v>
      </c>
      <c r="ED36" s="96">
        <f t="shared" ref="ED36" si="436">EC36+ED35</f>
        <v>546064.48220819805</v>
      </c>
    </row>
    <row r="37" spans="2:134" s="81" customFormat="1" ht="12.6" customHeight="1">
      <c r="B37" s="126" t="s">
        <v>7</v>
      </c>
      <c r="C37" s="126"/>
      <c r="D37" s="126"/>
      <c r="E37" s="126"/>
      <c r="F37" s="126"/>
      <c r="G37" s="126"/>
      <c r="H37" s="126"/>
      <c r="I37" s="126"/>
      <c r="J37" s="197">
        <f>IF(J32&lt;0,1,IF(I32&lt;0,(1-((I32+J31))/J31),0))</f>
        <v>0</v>
      </c>
      <c r="K37" s="197">
        <f t="shared" ref="K37:AE37" si="437">IF(K32&lt;0,1,IF(J32&lt;0,(1-((J32+K31))/K31),0))</f>
        <v>0</v>
      </c>
      <c r="L37" s="197">
        <f t="shared" si="437"/>
        <v>1</v>
      </c>
      <c r="M37" s="197">
        <f t="shared" si="437"/>
        <v>1</v>
      </c>
      <c r="N37" s="197">
        <f t="shared" si="437"/>
        <v>1</v>
      </c>
      <c r="O37" s="197">
        <f t="shared" si="437"/>
        <v>1</v>
      </c>
      <c r="P37" s="197">
        <f t="shared" si="437"/>
        <v>1</v>
      </c>
      <c r="Q37" s="197">
        <f t="shared" si="437"/>
        <v>1</v>
      </c>
      <c r="R37" s="197">
        <f t="shared" si="437"/>
        <v>1</v>
      </c>
      <c r="S37" s="197">
        <f t="shared" si="437"/>
        <v>1</v>
      </c>
      <c r="T37" s="197">
        <f t="shared" si="437"/>
        <v>1</v>
      </c>
      <c r="U37" s="197">
        <f t="shared" si="437"/>
        <v>1</v>
      </c>
      <c r="V37" s="197">
        <f t="shared" si="437"/>
        <v>1</v>
      </c>
      <c r="W37" s="197">
        <f t="shared" si="437"/>
        <v>1</v>
      </c>
      <c r="X37" s="197">
        <f t="shared" si="437"/>
        <v>1</v>
      </c>
      <c r="Y37" s="197">
        <f t="shared" si="437"/>
        <v>1</v>
      </c>
      <c r="Z37" s="197">
        <f t="shared" si="437"/>
        <v>1</v>
      </c>
      <c r="AA37" s="197">
        <f t="shared" si="437"/>
        <v>1</v>
      </c>
      <c r="AB37" s="197">
        <f t="shared" si="437"/>
        <v>1</v>
      </c>
      <c r="AC37" s="197">
        <f t="shared" si="437"/>
        <v>1</v>
      </c>
      <c r="AD37" s="197">
        <f>IF(AD32&lt;0,1,IF(AC32&lt;0,(1-((AC32+AD31))/AD31),0))</f>
        <v>1</v>
      </c>
      <c r="AE37" s="197">
        <f t="shared" si="437"/>
        <v>1</v>
      </c>
      <c r="AF37" s="197">
        <f>IF(AF32&lt;0,1,IF(AE32&lt;0,(1-((AE32+AF31))/AF31),0))</f>
        <v>1</v>
      </c>
      <c r="AG37" s="197">
        <f>IF(AG32&lt;0,1,IF(AF32&lt;0,(1-((AF32+AG31))/AG31),0))</f>
        <v>1</v>
      </c>
      <c r="AH37" s="197">
        <f>IF(AH32&lt;0,1,IF(AG32&lt;0,(1-((AG32+AH31))/AH31),0))</f>
        <v>1</v>
      </c>
      <c r="AI37" s="197">
        <f t="shared" ref="AI37:AL37" si="438">IF(AI32&lt;0,1,IF(AH32&lt;0,(1-((AH32+AI31))/AI31),0))</f>
        <v>1</v>
      </c>
      <c r="AJ37" s="197">
        <f t="shared" si="438"/>
        <v>1</v>
      </c>
      <c r="AK37" s="197">
        <f t="shared" si="438"/>
        <v>1</v>
      </c>
      <c r="AL37" s="197">
        <f t="shared" si="438"/>
        <v>1</v>
      </c>
      <c r="AM37" s="197">
        <f t="shared" ref="AM37" si="439">IF(AM32&lt;0,1,IF(AL32&lt;0,(1-((AL32+AM31))/AM31),0))</f>
        <v>1</v>
      </c>
      <c r="AN37" s="197">
        <f t="shared" ref="AN37" si="440">IF(AN32&lt;0,1,IF(AM32&lt;0,(1-((AM32+AN31))/AN31),0))</f>
        <v>1</v>
      </c>
      <c r="AO37" s="197">
        <f t="shared" ref="AO37" si="441">IF(AO32&lt;0,1,IF(AN32&lt;0,(1-((AN32+AO31))/AO31),0))</f>
        <v>1</v>
      </c>
      <c r="AP37" s="197">
        <f t="shared" ref="AP37" si="442">IF(AP32&lt;0,1,IF(AO32&lt;0,(1-((AO32+AP31))/AP31),0))</f>
        <v>1</v>
      </c>
      <c r="AQ37" s="197">
        <f t="shared" ref="AQ37" si="443">IF(AQ32&lt;0,1,IF(AP32&lt;0,(1-((AP32+AQ31))/AQ31),0))</f>
        <v>1</v>
      </c>
      <c r="AR37" s="197">
        <f t="shared" ref="AR37" si="444">IF(AR32&lt;0,1,IF(AQ32&lt;0,(1-((AQ32+AR31))/AR31),0))</f>
        <v>1</v>
      </c>
      <c r="AS37" s="197">
        <f t="shared" ref="AS37" si="445">IF(AS32&lt;0,1,IF(AR32&lt;0,(1-((AR32+AS31))/AS31),0))</f>
        <v>1</v>
      </c>
      <c r="AT37" s="197">
        <f t="shared" ref="AT37" si="446">IF(AT32&lt;0,1,IF(AS32&lt;0,(1-((AS32+AT31))/AT31),0))</f>
        <v>1</v>
      </c>
      <c r="AU37" s="197">
        <f t="shared" ref="AU37" si="447">IF(AU32&lt;0,1,IF(AT32&lt;0,(1-((AT32+AU31))/AU31),0))</f>
        <v>1</v>
      </c>
      <c r="AV37" s="197">
        <f t="shared" ref="AV37" si="448">IF(AV32&lt;0,1,IF(AU32&lt;0,(1-((AU32+AV31))/AV31),0))</f>
        <v>1</v>
      </c>
      <c r="AW37" s="197">
        <f t="shared" ref="AW37" si="449">IF(AW32&lt;0,1,IF(AV32&lt;0,(1-((AV32+AW31))/AW31),0))</f>
        <v>1</v>
      </c>
      <c r="AX37" s="197">
        <f t="shared" ref="AX37" si="450">IF(AX32&lt;0,1,IF(AW32&lt;0,(1-((AW32+AX31))/AX31),0))</f>
        <v>1</v>
      </c>
      <c r="AY37" s="197">
        <f t="shared" ref="AY37" si="451">IF(AY32&lt;0,1,IF(AX32&lt;0,(1-((AX32+AY31))/AY31),0))</f>
        <v>1</v>
      </c>
      <c r="AZ37" s="197">
        <f t="shared" ref="AZ37" si="452">IF(AZ32&lt;0,1,IF(AY32&lt;0,(1-((AY32+AZ31))/AZ31),0))</f>
        <v>1</v>
      </c>
      <c r="BA37" s="197">
        <f t="shared" ref="BA37" si="453">IF(BA32&lt;0,1,IF(AZ32&lt;0,(1-((AZ32+BA31))/BA31),0))</f>
        <v>1</v>
      </c>
      <c r="BB37" s="197">
        <f t="shared" ref="BB37" si="454">IF(BB32&lt;0,1,IF(BA32&lt;0,(1-((BA32+BB31))/BB31),0))</f>
        <v>1</v>
      </c>
      <c r="BC37" s="197">
        <f t="shared" ref="BC37" si="455">IF(BC32&lt;0,1,IF(BB32&lt;0,(1-((BB32+BC31))/BC31),0))</f>
        <v>1</v>
      </c>
      <c r="BD37" s="197">
        <f t="shared" ref="BD37" si="456">IF(BD32&lt;0,1,IF(BC32&lt;0,(1-((BC32+BD31))/BD31),0))</f>
        <v>1</v>
      </c>
      <c r="BE37" s="197">
        <f t="shared" ref="BE37" si="457">IF(BE32&lt;0,1,IF(BD32&lt;0,(1-((BD32+BE31))/BE31),0))</f>
        <v>1</v>
      </c>
      <c r="BF37" s="197">
        <f t="shared" ref="BF37" si="458">IF(BF32&lt;0,1,IF(BE32&lt;0,(1-((BE32+BF31))/BF31),0))</f>
        <v>1</v>
      </c>
      <c r="BG37" s="197">
        <f t="shared" ref="BG37" si="459">IF(BG32&lt;0,1,IF(BF32&lt;0,(1-((BF32+BG31))/BG31),0))</f>
        <v>1</v>
      </c>
      <c r="BH37" s="197">
        <f t="shared" ref="BH37" si="460">IF(BH32&lt;0,1,IF(BG32&lt;0,(1-((BG32+BH31))/BH31),0))</f>
        <v>1</v>
      </c>
      <c r="BI37" s="197">
        <f t="shared" ref="BI37" si="461">IF(BI32&lt;0,1,IF(BH32&lt;0,(1-((BH32+BI31))/BI31),0))</f>
        <v>0.93048982194285612</v>
      </c>
      <c r="BJ37" s="197">
        <f t="shared" ref="BJ37" si="462">IF(BJ32&lt;0,1,IF(BI32&lt;0,(1-((BI32+BJ31))/BJ31),0))</f>
        <v>1</v>
      </c>
      <c r="BK37" s="197">
        <f t="shared" ref="BK37" si="463">IF(BK32&lt;0,1,IF(BJ32&lt;0,(1-((BJ32+BK31))/BK31),0))</f>
        <v>1</v>
      </c>
      <c r="BL37" s="197">
        <f t="shared" ref="BL37" si="464">IF(BL32&lt;0,1,IF(BK32&lt;0,(1-((BK32+BL31))/BL31),0))</f>
        <v>1</v>
      </c>
      <c r="BM37" s="197">
        <f t="shared" ref="BM37" si="465">IF(BM32&lt;0,1,IF(BL32&lt;0,(1-((BL32+BM31))/BM31),0))</f>
        <v>1</v>
      </c>
      <c r="BN37" s="197">
        <f t="shared" ref="BN37" si="466">IF(BN32&lt;0,1,IF(BM32&lt;0,(1-((BM32+BN31))/BN31),0))</f>
        <v>1</v>
      </c>
      <c r="BO37" s="197">
        <f t="shared" ref="BO37" si="467">IF(BO32&lt;0,1,IF(BN32&lt;0,(1-((BN32+BO31))/BO31),0))</f>
        <v>1</v>
      </c>
      <c r="BP37" s="197">
        <f t="shared" ref="BP37" si="468">IF(BP32&lt;0,1,IF(BO32&lt;0,(1-((BO32+BP31))/BP31),0))</f>
        <v>0.84619933735839359</v>
      </c>
      <c r="BQ37" s="197">
        <f t="shared" ref="BQ37" si="469">IF(BQ32&lt;0,1,IF(BP32&lt;0,(1-((BP32+BQ31))/BQ31),0))</f>
        <v>0</v>
      </c>
      <c r="BR37" s="197">
        <f t="shared" ref="BR37" si="470">IF(BR32&lt;0,1,IF(BQ32&lt;0,(1-((BQ32+BR31))/BR31),0))</f>
        <v>0</v>
      </c>
      <c r="BS37" s="197">
        <f t="shared" ref="BS37" si="471">IF(BS32&lt;0,1,IF(BR32&lt;0,(1-((BR32+BS31))/BS31),0))</f>
        <v>0</v>
      </c>
      <c r="BT37" s="197">
        <f t="shared" ref="BT37" si="472">IF(BT32&lt;0,1,IF(BS32&lt;0,(1-((BS32+BT31))/BT31),0))</f>
        <v>0</v>
      </c>
      <c r="BU37" s="197">
        <f t="shared" ref="BU37" si="473">IF(BU32&lt;0,1,IF(BT32&lt;0,(1-((BT32+BU31))/BU31),0))</f>
        <v>0</v>
      </c>
      <c r="BV37" s="197">
        <f t="shared" ref="BV37" si="474">IF(BV32&lt;0,1,IF(BU32&lt;0,(1-((BU32+BV31))/BV31),0))</f>
        <v>0</v>
      </c>
      <c r="BW37" s="197">
        <f t="shared" ref="BW37" si="475">IF(BW32&lt;0,1,IF(BV32&lt;0,(1-((BV32+BW31))/BW31),0))</f>
        <v>0</v>
      </c>
      <c r="BX37" s="197">
        <f t="shared" ref="BX37" si="476">IF(BX32&lt;0,1,IF(BW32&lt;0,(1-((BW32+BX31))/BX31),0))</f>
        <v>0</v>
      </c>
      <c r="BY37" s="197">
        <f t="shared" ref="BY37" si="477">IF(BY32&lt;0,1,IF(BX32&lt;0,(1-((BX32+BY31))/BY31),0))</f>
        <v>0</v>
      </c>
      <c r="BZ37" s="197">
        <f t="shared" ref="BZ37" si="478">IF(BZ32&lt;0,1,IF(BY32&lt;0,(1-((BY32+BZ31))/BZ31),0))</f>
        <v>0</v>
      </c>
      <c r="CA37" s="197">
        <f t="shared" ref="CA37" si="479">IF(CA32&lt;0,1,IF(BZ32&lt;0,(1-((BZ32+CA31))/CA31),0))</f>
        <v>0</v>
      </c>
      <c r="CB37" s="197">
        <f t="shared" ref="CB37" si="480">IF(CB32&lt;0,1,IF(CA32&lt;0,(1-((CA32+CB31))/CB31),0))</f>
        <v>0</v>
      </c>
      <c r="CC37" s="197">
        <f t="shared" ref="CC37" si="481">IF(CC32&lt;0,1,IF(CB32&lt;0,(1-((CB32+CC31))/CC31),0))</f>
        <v>0</v>
      </c>
      <c r="CD37" s="197">
        <f t="shared" ref="CD37" si="482">IF(CD32&lt;0,1,IF(CC32&lt;0,(1-((CC32+CD31))/CD31),0))</f>
        <v>0</v>
      </c>
      <c r="CE37" s="197">
        <f t="shared" ref="CE37" si="483">IF(CE32&lt;0,1,IF(CD32&lt;0,(1-((CD32+CE31))/CE31),0))</f>
        <v>0</v>
      </c>
      <c r="CF37" s="197">
        <f t="shared" ref="CF37" si="484">IF(CF32&lt;0,1,IF(CE32&lt;0,(1-((CE32+CF31))/CF31),0))</f>
        <v>0</v>
      </c>
      <c r="CG37" s="197">
        <f t="shared" ref="CG37" si="485">IF(CG32&lt;0,1,IF(CF32&lt;0,(1-((CF32+CG31))/CG31),0))</f>
        <v>0</v>
      </c>
      <c r="CH37" s="197">
        <f t="shared" ref="CH37" si="486">IF(CH32&lt;0,1,IF(CG32&lt;0,(1-((CG32+CH31))/CH31),0))</f>
        <v>0</v>
      </c>
      <c r="CI37" s="197">
        <f t="shared" ref="CI37" si="487">IF(CI32&lt;0,1,IF(CH32&lt;0,(1-((CH32+CI31))/CI31),0))</f>
        <v>0</v>
      </c>
      <c r="CJ37" s="197">
        <f t="shared" ref="CJ37" si="488">IF(CJ32&lt;0,1,IF(CI32&lt;0,(1-((CI32+CJ31))/CJ31),0))</f>
        <v>0</v>
      </c>
      <c r="CK37" s="197">
        <f t="shared" ref="CK37" si="489">IF(CK32&lt;0,1,IF(CJ32&lt;0,(1-((CJ32+CK31))/CK31),0))</f>
        <v>0</v>
      </c>
      <c r="CL37" s="197">
        <f t="shared" ref="CL37" si="490">IF(CL32&lt;0,1,IF(CK32&lt;0,(1-((CK32+CL31))/CL31),0))</f>
        <v>0</v>
      </c>
      <c r="CM37" s="197">
        <f t="shared" ref="CM37" si="491">IF(CM32&lt;0,1,IF(CL32&lt;0,(1-((CL32+CM31))/CM31),0))</f>
        <v>0</v>
      </c>
      <c r="CN37" s="197">
        <f t="shared" ref="CN37" si="492">IF(CN32&lt;0,1,IF(CM32&lt;0,(1-((CM32+CN31))/CN31),0))</f>
        <v>0</v>
      </c>
      <c r="CO37" s="197">
        <f t="shared" ref="CO37" si="493">IF(CO32&lt;0,1,IF(CN32&lt;0,(1-((CN32+CO31))/CO31),0))</f>
        <v>0</v>
      </c>
      <c r="CP37" s="197">
        <f t="shared" ref="CP37" si="494">IF(CP32&lt;0,1,IF(CO32&lt;0,(1-((CO32+CP31))/CP31),0))</f>
        <v>0</v>
      </c>
      <c r="CQ37" s="197">
        <f t="shared" ref="CQ37" si="495">IF(CQ32&lt;0,1,IF(CP32&lt;0,(1-((CP32+CQ31))/CQ31),0))</f>
        <v>0</v>
      </c>
      <c r="CR37" s="197">
        <f t="shared" ref="CR37" si="496">IF(CR32&lt;0,1,IF(CQ32&lt;0,(1-((CQ32+CR31))/CR31),0))</f>
        <v>0</v>
      </c>
      <c r="CS37" s="197">
        <f t="shared" ref="CS37" si="497">IF(CS32&lt;0,1,IF(CR32&lt;0,(1-((CR32+CS31))/CS31),0))</f>
        <v>0</v>
      </c>
      <c r="CT37" s="197">
        <f t="shared" ref="CT37" si="498">IF(CT32&lt;0,1,IF(CS32&lt;0,(1-((CS32+CT31))/CT31),0))</f>
        <v>0</v>
      </c>
      <c r="CU37" s="197">
        <f t="shared" ref="CU37" si="499">IF(CU32&lt;0,1,IF(CT32&lt;0,(1-((CT32+CU31))/CU31),0))</f>
        <v>0</v>
      </c>
      <c r="CV37" s="197">
        <f t="shared" ref="CV37" si="500">IF(CV32&lt;0,1,IF(CU32&lt;0,(1-((CU32+CV31))/CV31),0))</f>
        <v>0</v>
      </c>
      <c r="CW37" s="197">
        <f t="shared" ref="CW37" si="501">IF(CW32&lt;0,1,IF(CV32&lt;0,(1-((CV32+CW31))/CW31),0))</f>
        <v>0</v>
      </c>
      <c r="CX37" s="197">
        <f t="shared" ref="CX37" si="502">IF(CX32&lt;0,1,IF(CW32&lt;0,(1-((CW32+CX31))/CX31),0))</f>
        <v>0</v>
      </c>
      <c r="CY37" s="197">
        <f t="shared" ref="CY37" si="503">IF(CY32&lt;0,1,IF(CX32&lt;0,(1-((CX32+CY31))/CY31),0))</f>
        <v>0</v>
      </c>
      <c r="CZ37" s="197">
        <f t="shared" ref="CZ37" si="504">IF(CZ32&lt;0,1,IF(CY32&lt;0,(1-((CY32+CZ31))/CZ31),0))</f>
        <v>0</v>
      </c>
      <c r="DA37" s="197">
        <f t="shared" ref="DA37" si="505">IF(DA32&lt;0,1,IF(CZ32&lt;0,(1-((CZ32+DA31))/DA31),0))</f>
        <v>0</v>
      </c>
      <c r="DB37" s="197">
        <f t="shared" ref="DB37" si="506">IF(DB32&lt;0,1,IF(DA32&lt;0,(1-((DA32+DB31))/DB31),0))</f>
        <v>0</v>
      </c>
      <c r="DC37" s="197">
        <f t="shared" ref="DC37" si="507">IF(DC32&lt;0,1,IF(DB32&lt;0,(1-((DB32+DC31))/DC31),0))</f>
        <v>0</v>
      </c>
      <c r="DD37" s="197">
        <f t="shared" ref="DD37" si="508">IF(DD32&lt;0,1,IF(DC32&lt;0,(1-((DC32+DD31))/DD31),0))</f>
        <v>0</v>
      </c>
      <c r="DE37" s="197">
        <f t="shared" ref="DE37" si="509">IF(DE32&lt;0,1,IF(DD32&lt;0,(1-((DD32+DE31))/DE31),0))</f>
        <v>0</v>
      </c>
      <c r="DF37" s="197">
        <f t="shared" ref="DF37" si="510">IF(DF32&lt;0,1,IF(DE32&lt;0,(1-((DE32+DF31))/DF31),0))</f>
        <v>0</v>
      </c>
      <c r="DG37" s="197">
        <f t="shared" ref="DG37" si="511">IF(DG32&lt;0,1,IF(DF32&lt;0,(1-((DF32+DG31))/DG31),0))</f>
        <v>0</v>
      </c>
      <c r="DH37" s="197">
        <f t="shared" ref="DH37" si="512">IF(DH32&lt;0,1,IF(DG32&lt;0,(1-((DG32+DH31))/DH31),0))</f>
        <v>0</v>
      </c>
      <c r="DI37" s="197">
        <f t="shared" ref="DI37" si="513">IF(DI32&lt;0,1,IF(DH32&lt;0,(1-((DH32+DI31))/DI31),0))</f>
        <v>0</v>
      </c>
      <c r="DJ37" s="197">
        <f t="shared" ref="DJ37" si="514">IF(DJ32&lt;0,1,IF(DI32&lt;0,(1-((DI32+DJ31))/DJ31),0))</f>
        <v>0</v>
      </c>
      <c r="DK37" s="197">
        <f t="shared" ref="DK37" si="515">IF(DK32&lt;0,1,IF(DJ32&lt;0,(1-((DJ32+DK31))/DK31),0))</f>
        <v>0</v>
      </c>
      <c r="DL37" s="197">
        <f t="shared" ref="DL37" si="516">IF(DL32&lt;0,1,IF(DK32&lt;0,(1-((DK32+DL31))/DL31),0))</f>
        <v>0</v>
      </c>
      <c r="DM37" s="197">
        <f t="shared" ref="DM37" si="517">IF(DM32&lt;0,1,IF(DL32&lt;0,(1-((DL32+DM31))/DM31),0))</f>
        <v>0</v>
      </c>
      <c r="DN37" s="197">
        <f t="shared" ref="DN37" si="518">IF(DN32&lt;0,1,IF(DM32&lt;0,(1-((DM32+DN31))/DN31),0))</f>
        <v>0</v>
      </c>
      <c r="DO37" s="197">
        <f t="shared" ref="DO37" si="519">IF(DO32&lt;0,1,IF(DN32&lt;0,(1-((DN32+DO31))/DO31),0))</f>
        <v>0</v>
      </c>
      <c r="DP37" s="197">
        <f t="shared" ref="DP37" si="520">IF(DP32&lt;0,1,IF(DO32&lt;0,(1-((DO32+DP31))/DP31),0))</f>
        <v>0</v>
      </c>
      <c r="DQ37" s="197">
        <f t="shared" ref="DQ37" si="521">IF(DQ32&lt;0,1,IF(DP32&lt;0,(1-((DP32+DQ31))/DQ31),0))</f>
        <v>0</v>
      </c>
      <c r="DR37" s="197">
        <f t="shared" ref="DR37" si="522">IF(DR32&lt;0,1,IF(DQ32&lt;0,(1-((DQ32+DR31))/DR31),0))</f>
        <v>0</v>
      </c>
      <c r="DS37" s="197">
        <f t="shared" ref="DS37" si="523">IF(DS32&lt;0,1,IF(DR32&lt;0,(1-((DR32+DS31))/DS31),0))</f>
        <v>0</v>
      </c>
      <c r="DT37" s="197">
        <f t="shared" ref="DT37" si="524">IF(DT32&lt;0,1,IF(DS32&lt;0,(1-((DS32+DT31))/DT31),0))</f>
        <v>0</v>
      </c>
      <c r="DU37" s="197">
        <f t="shared" ref="DU37" si="525">IF(DU32&lt;0,1,IF(DT32&lt;0,(1-((DT32+DU31))/DU31),0))</f>
        <v>0</v>
      </c>
      <c r="DV37" s="197">
        <f t="shared" ref="DV37" si="526">IF(DV32&lt;0,1,IF(DU32&lt;0,(1-((DU32+DV31))/DV31),0))</f>
        <v>0</v>
      </c>
      <c r="DW37" s="197">
        <f t="shared" ref="DW37" si="527">IF(DW32&lt;0,1,IF(DV32&lt;0,(1-((DV32+DW31))/DW31),0))</f>
        <v>0</v>
      </c>
      <c r="DX37" s="197">
        <f t="shared" ref="DX37" si="528">IF(DX32&lt;0,1,IF(DW32&lt;0,(1-((DW32+DX31))/DX31),0))</f>
        <v>0</v>
      </c>
      <c r="DY37" s="197">
        <f t="shared" ref="DY37" si="529">IF(DY32&lt;0,1,IF(DX32&lt;0,(1-((DX32+DY31))/DY31),0))</f>
        <v>0</v>
      </c>
      <c r="DZ37" s="197">
        <f t="shared" ref="DZ37" si="530">IF(DZ32&lt;0,1,IF(DY32&lt;0,(1-((DY32+DZ31))/DZ31),0))</f>
        <v>0</v>
      </c>
      <c r="EA37" s="197">
        <f t="shared" ref="EA37" si="531">IF(EA32&lt;0,1,IF(DZ32&lt;0,(1-((DZ32+EA31))/EA31),0))</f>
        <v>0</v>
      </c>
      <c r="EB37" s="197">
        <f t="shared" ref="EB37" si="532">IF(EB32&lt;0,1,IF(EA32&lt;0,(1-((EA32+EB31))/EB31),0))</f>
        <v>0</v>
      </c>
      <c r="EC37" s="197">
        <f t="shared" ref="EC37" si="533">IF(EC32&lt;0,1,IF(EB32&lt;0,(1-((EB32+EC31))/EC31),0))</f>
        <v>0</v>
      </c>
      <c r="ED37" s="197">
        <f t="shared" ref="ED37" si="534">IF(ED32&lt;0,1,IF(EC32&lt;0,(1-((EC32+ED31))/ED31),0))</f>
        <v>0</v>
      </c>
    </row>
    <row r="38" spans="2:134" s="80" customFormat="1" ht="12.6" customHeight="1">
      <c r="B38" s="127" t="s">
        <v>4</v>
      </c>
      <c r="C38" s="127"/>
      <c r="D38" s="127"/>
      <c r="E38" s="127"/>
      <c r="F38" s="127"/>
      <c r="G38" s="127"/>
      <c r="H38" s="127"/>
      <c r="I38" s="127"/>
      <c r="J38" s="198">
        <f t="shared" ref="J38:AE38" si="535">IF(J36&lt;0,1,IF(I36&lt;0,(1-((I36+J35))/J35),0))</f>
        <v>0</v>
      </c>
      <c r="K38" s="198">
        <f t="shared" si="535"/>
        <v>0</v>
      </c>
      <c r="L38" s="198">
        <f t="shared" si="535"/>
        <v>1</v>
      </c>
      <c r="M38" s="198">
        <f t="shared" si="535"/>
        <v>1</v>
      </c>
      <c r="N38" s="198">
        <f t="shared" si="535"/>
        <v>1</v>
      </c>
      <c r="O38" s="198">
        <f t="shared" si="535"/>
        <v>1</v>
      </c>
      <c r="P38" s="198">
        <f t="shared" si="535"/>
        <v>1</v>
      </c>
      <c r="Q38" s="198">
        <f t="shared" si="535"/>
        <v>1</v>
      </c>
      <c r="R38" s="198">
        <f t="shared" si="535"/>
        <v>1</v>
      </c>
      <c r="S38" s="198">
        <f t="shared" si="535"/>
        <v>1</v>
      </c>
      <c r="T38" s="198">
        <f t="shared" si="535"/>
        <v>1</v>
      </c>
      <c r="U38" s="198">
        <f t="shared" si="535"/>
        <v>1</v>
      </c>
      <c r="V38" s="198">
        <f t="shared" si="535"/>
        <v>1</v>
      </c>
      <c r="W38" s="198">
        <f t="shared" si="535"/>
        <v>1</v>
      </c>
      <c r="X38" s="198">
        <f t="shared" si="535"/>
        <v>1</v>
      </c>
      <c r="Y38" s="198">
        <f t="shared" si="535"/>
        <v>1</v>
      </c>
      <c r="Z38" s="198">
        <f t="shared" si="535"/>
        <v>1</v>
      </c>
      <c r="AA38" s="198">
        <f t="shared" si="535"/>
        <v>1</v>
      </c>
      <c r="AB38" s="198">
        <f t="shared" si="535"/>
        <v>1</v>
      </c>
      <c r="AC38" s="198">
        <f t="shared" si="535"/>
        <v>1</v>
      </c>
      <c r="AD38" s="198">
        <f t="shared" si="535"/>
        <v>1</v>
      </c>
      <c r="AE38" s="198">
        <f t="shared" si="535"/>
        <v>1</v>
      </c>
      <c r="AF38" s="198">
        <f>IF(AF36&lt;0,1,IF(AE36&lt;0,(1-((AE36+AF35))/AF35),0))</f>
        <v>1</v>
      </c>
      <c r="AG38" s="198">
        <f t="shared" ref="AG38:AL38" si="536">IF(AG36&lt;0,1,IF(AF36&lt;0,(1-((AF36+AG35))/AG35),0))</f>
        <v>1</v>
      </c>
      <c r="AH38" s="198">
        <f t="shared" si="536"/>
        <v>1</v>
      </c>
      <c r="AI38" s="198">
        <f t="shared" si="536"/>
        <v>1</v>
      </c>
      <c r="AJ38" s="198">
        <f t="shared" si="536"/>
        <v>1</v>
      </c>
      <c r="AK38" s="198">
        <f t="shared" si="536"/>
        <v>1</v>
      </c>
      <c r="AL38" s="198">
        <f t="shared" si="536"/>
        <v>1</v>
      </c>
      <c r="AM38" s="198">
        <f t="shared" ref="AM38" si="537">IF(AM36&lt;0,1,IF(AL36&lt;0,(1-((AL36+AM35))/AM35),0))</f>
        <v>1</v>
      </c>
      <c r="AN38" s="198">
        <f t="shared" ref="AN38" si="538">IF(AN36&lt;0,1,IF(AM36&lt;0,(1-((AM36+AN35))/AN35),0))</f>
        <v>1</v>
      </c>
      <c r="AO38" s="198">
        <f t="shared" ref="AO38" si="539">IF(AO36&lt;0,1,IF(AN36&lt;0,(1-((AN36+AO35))/AO35),0))</f>
        <v>1</v>
      </c>
      <c r="AP38" s="198">
        <f t="shared" ref="AP38" si="540">IF(AP36&lt;0,1,IF(AO36&lt;0,(1-((AO36+AP35))/AP35),0))</f>
        <v>1</v>
      </c>
      <c r="AQ38" s="198">
        <f t="shared" ref="AQ38" si="541">IF(AQ36&lt;0,1,IF(AP36&lt;0,(1-((AP36+AQ35))/AQ35),0))</f>
        <v>1</v>
      </c>
      <c r="AR38" s="198">
        <f t="shared" ref="AR38" si="542">IF(AR36&lt;0,1,IF(AQ36&lt;0,(1-((AQ36+AR35))/AR35),0))</f>
        <v>1</v>
      </c>
      <c r="AS38" s="198">
        <f t="shared" ref="AS38" si="543">IF(AS36&lt;0,1,IF(AR36&lt;0,(1-((AR36+AS35))/AS35),0))</f>
        <v>1</v>
      </c>
      <c r="AT38" s="198">
        <f t="shared" ref="AT38" si="544">IF(AT36&lt;0,1,IF(AS36&lt;0,(1-((AS36+AT35))/AT35),0))</f>
        <v>1</v>
      </c>
      <c r="AU38" s="198">
        <f t="shared" ref="AU38" si="545">IF(AU36&lt;0,1,IF(AT36&lt;0,(1-((AT36+AU35))/AU35),0))</f>
        <v>1</v>
      </c>
      <c r="AV38" s="198">
        <f t="shared" ref="AV38" si="546">IF(AV36&lt;0,1,IF(AU36&lt;0,(1-((AU36+AV35))/AV35),0))</f>
        <v>1</v>
      </c>
      <c r="AW38" s="198">
        <f t="shared" ref="AW38" si="547">IF(AW36&lt;0,1,IF(AV36&lt;0,(1-((AV36+AW35))/AW35),0))</f>
        <v>1</v>
      </c>
      <c r="AX38" s="198">
        <f t="shared" ref="AX38" si="548">IF(AX36&lt;0,1,IF(AW36&lt;0,(1-((AW36+AX35))/AX35),0))</f>
        <v>1</v>
      </c>
      <c r="AY38" s="198">
        <f t="shared" ref="AY38" si="549">IF(AY36&lt;0,1,IF(AX36&lt;0,(1-((AX36+AY35))/AY35),0))</f>
        <v>1</v>
      </c>
      <c r="AZ38" s="198">
        <f t="shared" ref="AZ38" si="550">IF(AZ36&lt;0,1,IF(AY36&lt;0,(1-((AY36+AZ35))/AZ35),0))</f>
        <v>1</v>
      </c>
      <c r="BA38" s="198">
        <f t="shared" ref="BA38" si="551">IF(BA36&lt;0,1,IF(AZ36&lt;0,(1-((AZ36+BA35))/BA35),0))</f>
        <v>1</v>
      </c>
      <c r="BB38" s="198">
        <f t="shared" ref="BB38" si="552">IF(BB36&lt;0,1,IF(BA36&lt;0,(1-((BA36+BB35))/BB35),0))</f>
        <v>1</v>
      </c>
      <c r="BC38" s="198">
        <f t="shared" ref="BC38" si="553">IF(BC36&lt;0,1,IF(BB36&lt;0,(1-((BB36+BC35))/BC35),0))</f>
        <v>1</v>
      </c>
      <c r="BD38" s="198">
        <f t="shared" ref="BD38" si="554">IF(BD36&lt;0,1,IF(BC36&lt;0,(1-((BC36+BD35))/BD35),0))</f>
        <v>1</v>
      </c>
      <c r="BE38" s="198">
        <f t="shared" ref="BE38" si="555">IF(BE36&lt;0,1,IF(BD36&lt;0,(1-((BD36+BE35))/BE35),0))</f>
        <v>1</v>
      </c>
      <c r="BF38" s="198">
        <f t="shared" ref="BF38" si="556">IF(BF36&lt;0,1,IF(BE36&lt;0,(1-((BE36+BF35))/BF35),0))</f>
        <v>1</v>
      </c>
      <c r="BG38" s="198">
        <f t="shared" ref="BG38" si="557">IF(BG36&lt;0,1,IF(BF36&lt;0,(1-((BF36+BG35))/BG35),0))</f>
        <v>1</v>
      </c>
      <c r="BH38" s="198">
        <f t="shared" ref="BH38" si="558">IF(BH36&lt;0,1,IF(BG36&lt;0,(1-((BG36+BH35))/BH35),0))</f>
        <v>1</v>
      </c>
      <c r="BI38" s="198">
        <f t="shared" ref="BI38" si="559">IF(BI36&lt;0,1,IF(BH36&lt;0,(1-((BH36+BI35))/BI35),0))</f>
        <v>1</v>
      </c>
      <c r="BJ38" s="198">
        <f t="shared" ref="BJ38" si="560">IF(BJ36&lt;0,1,IF(BI36&lt;0,(1-((BI36+BJ35))/BJ35),0))</f>
        <v>1</v>
      </c>
      <c r="BK38" s="198">
        <f t="shared" ref="BK38" si="561">IF(BK36&lt;0,1,IF(BJ36&lt;0,(1-((BJ36+BK35))/BK35),0))</f>
        <v>1</v>
      </c>
      <c r="BL38" s="198">
        <f t="shared" ref="BL38" si="562">IF(BL36&lt;0,1,IF(BK36&lt;0,(1-((BK36+BL35))/BL35),0))</f>
        <v>1</v>
      </c>
      <c r="BM38" s="198">
        <f t="shared" ref="BM38" si="563">IF(BM36&lt;0,1,IF(BL36&lt;0,(1-((BL36+BM35))/BM35),0))</f>
        <v>1</v>
      </c>
      <c r="BN38" s="198">
        <f t="shared" ref="BN38" si="564">IF(BN36&lt;0,1,IF(BM36&lt;0,(1-((BM36+BN35))/BN35),0))</f>
        <v>1</v>
      </c>
      <c r="BO38" s="198">
        <f t="shared" ref="BO38" si="565">IF(BO36&lt;0,1,IF(BN36&lt;0,(1-((BN36+BO35))/BO35),0))</f>
        <v>1</v>
      </c>
      <c r="BP38" s="198">
        <f t="shared" ref="BP38" si="566">IF(BP36&lt;0,1,IF(BO36&lt;0,(1-((BO36+BP35))/BP35),0))</f>
        <v>1</v>
      </c>
      <c r="BQ38" s="198">
        <f t="shared" ref="BQ38" si="567">IF(BQ36&lt;0,1,IF(BP36&lt;0,(1-((BP36+BQ35))/BQ35),0))</f>
        <v>1</v>
      </c>
      <c r="BR38" s="198">
        <f t="shared" ref="BR38" si="568">IF(BR36&lt;0,1,IF(BQ36&lt;0,(1-((BQ36+BR35))/BR35),0))</f>
        <v>0.99667720237788604</v>
      </c>
      <c r="BS38" s="198">
        <f t="shared" ref="BS38" si="569">IF(BS36&lt;0,1,IF(BR36&lt;0,(1-((BR36+BS35))/BS35),0))</f>
        <v>0</v>
      </c>
      <c r="BT38" s="198">
        <f t="shared" ref="BT38" si="570">IF(BT36&lt;0,1,IF(BS36&lt;0,(1-((BS36+BT35))/BT35),0))</f>
        <v>0</v>
      </c>
      <c r="BU38" s="198">
        <f t="shared" ref="BU38" si="571">IF(BU36&lt;0,1,IF(BT36&lt;0,(1-((BT36+BU35))/BU35),0))</f>
        <v>0</v>
      </c>
      <c r="BV38" s="198">
        <f t="shared" ref="BV38" si="572">IF(BV36&lt;0,1,IF(BU36&lt;0,(1-((BU36+BV35))/BV35),0))</f>
        <v>0</v>
      </c>
      <c r="BW38" s="198">
        <f t="shared" ref="BW38" si="573">IF(BW36&lt;0,1,IF(BV36&lt;0,(1-((BV36+BW35))/BW35),0))</f>
        <v>0</v>
      </c>
      <c r="BX38" s="198">
        <f t="shared" ref="BX38" si="574">IF(BX36&lt;0,1,IF(BW36&lt;0,(1-((BW36+BX35))/BX35),0))</f>
        <v>0</v>
      </c>
      <c r="BY38" s="198">
        <f t="shared" ref="BY38" si="575">IF(BY36&lt;0,1,IF(BX36&lt;0,(1-((BX36+BY35))/BY35),0))</f>
        <v>0</v>
      </c>
      <c r="BZ38" s="198">
        <f t="shared" ref="BZ38" si="576">IF(BZ36&lt;0,1,IF(BY36&lt;0,(1-((BY36+BZ35))/BZ35),0))</f>
        <v>0</v>
      </c>
      <c r="CA38" s="198">
        <f t="shared" ref="CA38" si="577">IF(CA36&lt;0,1,IF(BZ36&lt;0,(1-((BZ36+CA35))/CA35),0))</f>
        <v>0</v>
      </c>
      <c r="CB38" s="198">
        <f t="shared" ref="CB38" si="578">IF(CB36&lt;0,1,IF(CA36&lt;0,(1-((CA36+CB35))/CB35),0))</f>
        <v>0</v>
      </c>
      <c r="CC38" s="198">
        <f t="shared" ref="CC38" si="579">IF(CC36&lt;0,1,IF(CB36&lt;0,(1-((CB36+CC35))/CC35),0))</f>
        <v>0</v>
      </c>
      <c r="CD38" s="198">
        <f t="shared" ref="CD38" si="580">IF(CD36&lt;0,1,IF(CC36&lt;0,(1-((CC36+CD35))/CD35),0))</f>
        <v>0</v>
      </c>
      <c r="CE38" s="198">
        <f t="shared" ref="CE38" si="581">IF(CE36&lt;0,1,IF(CD36&lt;0,(1-((CD36+CE35))/CE35),0))</f>
        <v>0</v>
      </c>
      <c r="CF38" s="198">
        <f t="shared" ref="CF38" si="582">IF(CF36&lt;0,1,IF(CE36&lt;0,(1-((CE36+CF35))/CF35),0))</f>
        <v>0</v>
      </c>
      <c r="CG38" s="198">
        <f t="shared" ref="CG38" si="583">IF(CG36&lt;0,1,IF(CF36&lt;0,(1-((CF36+CG35))/CG35),0))</f>
        <v>0</v>
      </c>
      <c r="CH38" s="198">
        <f t="shared" ref="CH38" si="584">IF(CH36&lt;0,1,IF(CG36&lt;0,(1-((CG36+CH35))/CH35),0))</f>
        <v>0</v>
      </c>
      <c r="CI38" s="198">
        <f t="shared" ref="CI38" si="585">IF(CI36&lt;0,1,IF(CH36&lt;0,(1-((CH36+CI35))/CI35),0))</f>
        <v>0</v>
      </c>
      <c r="CJ38" s="198">
        <f t="shared" ref="CJ38" si="586">IF(CJ36&lt;0,1,IF(CI36&lt;0,(1-((CI36+CJ35))/CJ35),0))</f>
        <v>0</v>
      </c>
      <c r="CK38" s="198">
        <f t="shared" ref="CK38" si="587">IF(CK36&lt;0,1,IF(CJ36&lt;0,(1-((CJ36+CK35))/CK35),0))</f>
        <v>0</v>
      </c>
      <c r="CL38" s="198">
        <f t="shared" ref="CL38" si="588">IF(CL36&lt;0,1,IF(CK36&lt;0,(1-((CK36+CL35))/CL35),0))</f>
        <v>0</v>
      </c>
      <c r="CM38" s="198">
        <f t="shared" ref="CM38" si="589">IF(CM36&lt;0,1,IF(CL36&lt;0,(1-((CL36+CM35))/CM35),0))</f>
        <v>0</v>
      </c>
      <c r="CN38" s="198">
        <f t="shared" ref="CN38" si="590">IF(CN36&lt;0,1,IF(CM36&lt;0,(1-((CM36+CN35))/CN35),0))</f>
        <v>0</v>
      </c>
      <c r="CO38" s="198">
        <f t="shared" ref="CO38" si="591">IF(CO36&lt;0,1,IF(CN36&lt;0,(1-((CN36+CO35))/CO35),0))</f>
        <v>0</v>
      </c>
      <c r="CP38" s="198">
        <f t="shared" ref="CP38" si="592">IF(CP36&lt;0,1,IF(CO36&lt;0,(1-((CO36+CP35))/CP35),0))</f>
        <v>0</v>
      </c>
      <c r="CQ38" s="198">
        <f t="shared" ref="CQ38" si="593">IF(CQ36&lt;0,1,IF(CP36&lt;0,(1-((CP36+CQ35))/CQ35),0))</f>
        <v>0</v>
      </c>
      <c r="CR38" s="198">
        <f t="shared" ref="CR38" si="594">IF(CR36&lt;0,1,IF(CQ36&lt;0,(1-((CQ36+CR35))/CR35),0))</f>
        <v>0</v>
      </c>
      <c r="CS38" s="198">
        <f t="shared" ref="CS38" si="595">IF(CS36&lt;0,1,IF(CR36&lt;0,(1-((CR36+CS35))/CS35),0))</f>
        <v>0</v>
      </c>
      <c r="CT38" s="198">
        <f t="shared" ref="CT38" si="596">IF(CT36&lt;0,1,IF(CS36&lt;0,(1-((CS36+CT35))/CT35),0))</f>
        <v>0</v>
      </c>
      <c r="CU38" s="198">
        <f t="shared" ref="CU38" si="597">IF(CU36&lt;0,1,IF(CT36&lt;0,(1-((CT36+CU35))/CU35),0))</f>
        <v>0</v>
      </c>
      <c r="CV38" s="198">
        <f t="shared" ref="CV38" si="598">IF(CV36&lt;0,1,IF(CU36&lt;0,(1-((CU36+CV35))/CV35),0))</f>
        <v>0</v>
      </c>
      <c r="CW38" s="198">
        <f t="shared" ref="CW38" si="599">IF(CW36&lt;0,1,IF(CV36&lt;0,(1-((CV36+CW35))/CW35),0))</f>
        <v>0</v>
      </c>
      <c r="CX38" s="198">
        <f t="shared" ref="CX38" si="600">IF(CX36&lt;0,1,IF(CW36&lt;0,(1-((CW36+CX35))/CX35),0))</f>
        <v>0</v>
      </c>
      <c r="CY38" s="198">
        <f t="shared" ref="CY38" si="601">IF(CY36&lt;0,1,IF(CX36&lt;0,(1-((CX36+CY35))/CY35),0))</f>
        <v>0</v>
      </c>
      <c r="CZ38" s="198">
        <f t="shared" ref="CZ38" si="602">IF(CZ36&lt;0,1,IF(CY36&lt;0,(1-((CY36+CZ35))/CZ35),0))</f>
        <v>0</v>
      </c>
      <c r="DA38" s="198">
        <f t="shared" ref="DA38" si="603">IF(DA36&lt;0,1,IF(CZ36&lt;0,(1-((CZ36+DA35))/DA35),0))</f>
        <v>0</v>
      </c>
      <c r="DB38" s="198">
        <f t="shared" ref="DB38" si="604">IF(DB36&lt;0,1,IF(DA36&lt;0,(1-((DA36+DB35))/DB35),0))</f>
        <v>0</v>
      </c>
      <c r="DC38" s="198">
        <f t="shared" ref="DC38" si="605">IF(DC36&lt;0,1,IF(DB36&lt;0,(1-((DB36+DC35))/DC35),0))</f>
        <v>0</v>
      </c>
      <c r="DD38" s="198">
        <f t="shared" ref="DD38" si="606">IF(DD36&lt;0,1,IF(DC36&lt;0,(1-((DC36+DD35))/DD35),0))</f>
        <v>0</v>
      </c>
      <c r="DE38" s="198">
        <f t="shared" ref="DE38" si="607">IF(DE36&lt;0,1,IF(DD36&lt;0,(1-((DD36+DE35))/DE35),0))</f>
        <v>0</v>
      </c>
      <c r="DF38" s="198">
        <f t="shared" ref="DF38" si="608">IF(DF36&lt;0,1,IF(DE36&lt;0,(1-((DE36+DF35))/DF35),0))</f>
        <v>0</v>
      </c>
      <c r="DG38" s="198">
        <f t="shared" ref="DG38" si="609">IF(DG36&lt;0,1,IF(DF36&lt;0,(1-((DF36+DG35))/DG35),0))</f>
        <v>0</v>
      </c>
      <c r="DH38" s="198">
        <f t="shared" ref="DH38" si="610">IF(DH36&lt;0,1,IF(DG36&lt;0,(1-((DG36+DH35))/DH35),0))</f>
        <v>0</v>
      </c>
      <c r="DI38" s="198">
        <f t="shared" ref="DI38" si="611">IF(DI36&lt;0,1,IF(DH36&lt;0,(1-((DH36+DI35))/DI35),0))</f>
        <v>0</v>
      </c>
      <c r="DJ38" s="198">
        <f t="shared" ref="DJ38" si="612">IF(DJ36&lt;0,1,IF(DI36&lt;0,(1-((DI36+DJ35))/DJ35),0))</f>
        <v>0</v>
      </c>
      <c r="DK38" s="198">
        <f t="shared" ref="DK38" si="613">IF(DK36&lt;0,1,IF(DJ36&lt;0,(1-((DJ36+DK35))/DK35),0))</f>
        <v>0</v>
      </c>
      <c r="DL38" s="198">
        <f t="shared" ref="DL38" si="614">IF(DL36&lt;0,1,IF(DK36&lt;0,(1-((DK36+DL35))/DL35),0))</f>
        <v>0</v>
      </c>
      <c r="DM38" s="198">
        <f t="shared" ref="DM38" si="615">IF(DM36&lt;0,1,IF(DL36&lt;0,(1-((DL36+DM35))/DM35),0))</f>
        <v>0</v>
      </c>
      <c r="DN38" s="198">
        <f t="shared" ref="DN38" si="616">IF(DN36&lt;0,1,IF(DM36&lt;0,(1-((DM36+DN35))/DN35),0))</f>
        <v>0</v>
      </c>
      <c r="DO38" s="198">
        <f t="shared" ref="DO38" si="617">IF(DO36&lt;0,1,IF(DN36&lt;0,(1-((DN36+DO35))/DO35),0))</f>
        <v>0</v>
      </c>
      <c r="DP38" s="198">
        <f t="shared" ref="DP38" si="618">IF(DP36&lt;0,1,IF(DO36&lt;0,(1-((DO36+DP35))/DP35),0))</f>
        <v>0</v>
      </c>
      <c r="DQ38" s="198">
        <f t="shared" ref="DQ38" si="619">IF(DQ36&lt;0,1,IF(DP36&lt;0,(1-((DP36+DQ35))/DQ35),0))</f>
        <v>0</v>
      </c>
      <c r="DR38" s="198">
        <f t="shared" ref="DR38" si="620">IF(DR36&lt;0,1,IF(DQ36&lt;0,(1-((DQ36+DR35))/DR35),0))</f>
        <v>0</v>
      </c>
      <c r="DS38" s="198">
        <f t="shared" ref="DS38" si="621">IF(DS36&lt;0,1,IF(DR36&lt;0,(1-((DR36+DS35))/DS35),0))</f>
        <v>0</v>
      </c>
      <c r="DT38" s="198">
        <f t="shared" ref="DT38" si="622">IF(DT36&lt;0,1,IF(DS36&lt;0,(1-((DS36+DT35))/DT35),0))</f>
        <v>0</v>
      </c>
      <c r="DU38" s="198">
        <f t="shared" ref="DU38" si="623">IF(DU36&lt;0,1,IF(DT36&lt;0,(1-((DT36+DU35))/DU35),0))</f>
        <v>0</v>
      </c>
      <c r="DV38" s="198">
        <f t="shared" ref="DV38" si="624">IF(DV36&lt;0,1,IF(DU36&lt;0,(1-((DU36+DV35))/DV35),0))</f>
        <v>0</v>
      </c>
      <c r="DW38" s="198">
        <f t="shared" ref="DW38" si="625">IF(DW36&lt;0,1,IF(DV36&lt;0,(1-((DV36+DW35))/DW35),0))</f>
        <v>0</v>
      </c>
      <c r="DX38" s="198">
        <f t="shared" ref="DX38" si="626">IF(DX36&lt;0,1,IF(DW36&lt;0,(1-((DW36+DX35))/DX35),0))</f>
        <v>0</v>
      </c>
      <c r="DY38" s="198">
        <f t="shared" ref="DY38" si="627">IF(DY36&lt;0,1,IF(DX36&lt;0,(1-((DX36+DY35))/DY35),0))</f>
        <v>0</v>
      </c>
      <c r="DZ38" s="198">
        <f t="shared" ref="DZ38" si="628">IF(DZ36&lt;0,1,IF(DY36&lt;0,(1-((DY36+DZ35))/DZ35),0))</f>
        <v>0</v>
      </c>
      <c r="EA38" s="198">
        <f t="shared" ref="EA38" si="629">IF(EA36&lt;0,1,IF(DZ36&lt;0,(1-((DZ36+EA35))/EA35),0))</f>
        <v>0</v>
      </c>
      <c r="EB38" s="198">
        <f t="shared" ref="EB38" si="630">IF(EB36&lt;0,1,IF(EA36&lt;0,(1-((EA36+EB35))/EB35),0))</f>
        <v>0</v>
      </c>
      <c r="EC38" s="198">
        <f t="shared" ref="EC38" si="631">IF(EC36&lt;0,1,IF(EB36&lt;0,(1-((EB36+EC35))/EC35),0))</f>
        <v>0</v>
      </c>
      <c r="ED38" s="198">
        <f t="shared" ref="ED38" si="632">IF(ED36&lt;0,1,IF(EC36&lt;0,(1-((EC36+ED35))/ED35),0))</f>
        <v>0</v>
      </c>
    </row>
    <row r="39" spans="2:134" s="62" customFormat="1" ht="12.6" customHeight="1">
      <c r="B39" s="128" t="s">
        <v>5</v>
      </c>
      <c r="C39" s="128"/>
      <c r="D39" s="128"/>
      <c r="E39" s="128"/>
      <c r="F39" s="128"/>
      <c r="G39" s="128">
        <v>1</v>
      </c>
      <c r="H39" s="128">
        <v>2</v>
      </c>
      <c r="I39" s="128">
        <v>3</v>
      </c>
      <c r="J39" s="128">
        <v>4</v>
      </c>
      <c r="K39" s="128">
        <v>5</v>
      </c>
      <c r="L39" s="128">
        <v>6</v>
      </c>
      <c r="M39" s="128">
        <v>7</v>
      </c>
      <c r="N39" s="128">
        <v>8</v>
      </c>
      <c r="O39" s="128">
        <v>9</v>
      </c>
      <c r="P39" s="128">
        <v>10</v>
      </c>
      <c r="Q39" s="128">
        <v>11</v>
      </c>
      <c r="R39" s="128">
        <v>12</v>
      </c>
      <c r="S39" s="128">
        <v>13</v>
      </c>
      <c r="T39" s="128">
        <v>14</v>
      </c>
      <c r="U39" s="128">
        <v>15</v>
      </c>
      <c r="V39" s="128">
        <v>16</v>
      </c>
      <c r="W39" s="128">
        <v>17</v>
      </c>
      <c r="X39" s="128">
        <v>18</v>
      </c>
      <c r="Y39" s="128">
        <v>19</v>
      </c>
      <c r="Z39" s="128">
        <v>20</v>
      </c>
      <c r="AA39" s="128">
        <v>21</v>
      </c>
      <c r="AB39" s="128">
        <v>22</v>
      </c>
      <c r="AC39" s="128">
        <v>23</v>
      </c>
      <c r="AD39" s="128">
        <v>24</v>
      </c>
      <c r="AE39" s="128">
        <v>25</v>
      </c>
      <c r="AF39" s="128">
        <v>26</v>
      </c>
      <c r="AG39" s="128">
        <v>27</v>
      </c>
      <c r="AH39" s="128">
        <v>28</v>
      </c>
      <c r="AI39" s="128">
        <v>29</v>
      </c>
      <c r="AJ39" s="128">
        <v>30</v>
      </c>
      <c r="AK39" s="128">
        <v>31</v>
      </c>
      <c r="AL39" s="128">
        <v>32</v>
      </c>
      <c r="AM39" s="128">
        <v>33</v>
      </c>
      <c r="AN39" s="128">
        <v>34</v>
      </c>
      <c r="AO39" s="128">
        <v>35</v>
      </c>
      <c r="AP39" s="128">
        <v>36</v>
      </c>
      <c r="AQ39" s="128">
        <v>37</v>
      </c>
      <c r="AR39" s="128">
        <v>38</v>
      </c>
      <c r="AS39" s="128">
        <v>39</v>
      </c>
      <c r="AT39" s="128">
        <v>40</v>
      </c>
      <c r="AU39" s="128">
        <v>41</v>
      </c>
      <c r="AV39" s="128">
        <v>42</v>
      </c>
      <c r="AW39" s="128">
        <v>43</v>
      </c>
      <c r="AX39" s="128">
        <v>44</v>
      </c>
      <c r="AY39" s="128">
        <v>45</v>
      </c>
      <c r="AZ39" s="128">
        <v>46</v>
      </c>
      <c r="BA39" s="128">
        <v>47</v>
      </c>
      <c r="BB39" s="128">
        <v>48</v>
      </c>
      <c r="BC39" s="128">
        <v>49</v>
      </c>
      <c r="BD39" s="128">
        <v>50</v>
      </c>
      <c r="BE39" s="128">
        <v>51</v>
      </c>
      <c r="BF39" s="128">
        <v>52</v>
      </c>
      <c r="BG39" s="128">
        <v>53</v>
      </c>
      <c r="BH39" s="128">
        <v>54</v>
      </c>
      <c r="BI39" s="128">
        <v>55</v>
      </c>
      <c r="BJ39" s="128">
        <v>56</v>
      </c>
      <c r="BK39" s="128">
        <v>57</v>
      </c>
      <c r="BL39" s="128">
        <v>58</v>
      </c>
      <c r="BM39" s="128">
        <v>59</v>
      </c>
      <c r="BN39" s="128">
        <v>60</v>
      </c>
      <c r="BO39" s="128">
        <v>61</v>
      </c>
      <c r="BP39" s="128">
        <v>62</v>
      </c>
      <c r="BQ39" s="128">
        <v>63</v>
      </c>
      <c r="BR39" s="128">
        <v>64</v>
      </c>
      <c r="BS39" s="128">
        <v>65</v>
      </c>
      <c r="BT39" s="128">
        <v>66</v>
      </c>
      <c r="BU39" s="128">
        <v>67</v>
      </c>
      <c r="BV39" s="128">
        <v>68</v>
      </c>
      <c r="BW39" s="128">
        <v>69</v>
      </c>
      <c r="BX39" s="128">
        <v>70</v>
      </c>
      <c r="BY39" s="128">
        <v>71</v>
      </c>
      <c r="BZ39" s="128">
        <v>72</v>
      </c>
      <c r="CA39" s="128">
        <v>73</v>
      </c>
      <c r="CB39" s="128">
        <v>74</v>
      </c>
      <c r="CC39" s="128">
        <v>75</v>
      </c>
      <c r="CD39" s="128">
        <v>76</v>
      </c>
      <c r="CE39" s="128">
        <v>77</v>
      </c>
      <c r="CF39" s="128">
        <v>78</v>
      </c>
      <c r="CG39" s="128">
        <v>79</v>
      </c>
      <c r="CH39" s="128">
        <v>80</v>
      </c>
      <c r="CI39" s="128">
        <v>81</v>
      </c>
      <c r="CJ39" s="128">
        <v>82</v>
      </c>
      <c r="CK39" s="128">
        <v>83</v>
      </c>
      <c r="CL39" s="128">
        <v>84</v>
      </c>
      <c r="CM39" s="128">
        <v>85</v>
      </c>
      <c r="CN39" s="128">
        <v>86</v>
      </c>
      <c r="CO39" s="128">
        <v>87</v>
      </c>
      <c r="CP39" s="128">
        <v>88</v>
      </c>
      <c r="CQ39" s="128">
        <v>89</v>
      </c>
      <c r="CR39" s="128">
        <v>90</v>
      </c>
      <c r="CS39" s="128">
        <v>91</v>
      </c>
      <c r="CT39" s="128">
        <v>92</v>
      </c>
      <c r="CU39" s="128">
        <v>93</v>
      </c>
      <c r="CV39" s="128">
        <v>94</v>
      </c>
      <c r="CW39" s="128">
        <v>95</v>
      </c>
      <c r="CX39" s="128">
        <v>96</v>
      </c>
      <c r="CY39" s="128">
        <v>97</v>
      </c>
      <c r="CZ39" s="128">
        <v>98</v>
      </c>
      <c r="DA39" s="128">
        <v>99</v>
      </c>
      <c r="DB39" s="128">
        <v>100</v>
      </c>
      <c r="DC39" s="128">
        <v>101</v>
      </c>
      <c r="DD39" s="128">
        <v>102</v>
      </c>
      <c r="DE39" s="128">
        <v>103</v>
      </c>
      <c r="DF39" s="128">
        <v>104</v>
      </c>
      <c r="DG39" s="128">
        <v>105</v>
      </c>
      <c r="DH39" s="128">
        <v>106</v>
      </c>
      <c r="DI39" s="128">
        <v>107</v>
      </c>
      <c r="DJ39" s="128">
        <v>108</v>
      </c>
      <c r="DK39" s="128">
        <v>109</v>
      </c>
      <c r="DL39" s="128">
        <v>110</v>
      </c>
      <c r="DM39" s="128">
        <v>111</v>
      </c>
      <c r="DN39" s="128">
        <v>112</v>
      </c>
      <c r="DO39" s="128">
        <v>113</v>
      </c>
      <c r="DP39" s="128">
        <v>114</v>
      </c>
      <c r="DQ39" s="128">
        <v>115</v>
      </c>
      <c r="DR39" s="128">
        <v>116</v>
      </c>
      <c r="DS39" s="128">
        <v>117</v>
      </c>
      <c r="DT39" s="128">
        <v>118</v>
      </c>
      <c r="DU39" s="128">
        <v>119</v>
      </c>
      <c r="DV39" s="128">
        <v>120</v>
      </c>
      <c r="DW39" s="128">
        <v>121</v>
      </c>
      <c r="DX39" s="128">
        <v>122</v>
      </c>
      <c r="DY39" s="128">
        <v>123</v>
      </c>
      <c r="DZ39" s="128">
        <v>124</v>
      </c>
      <c r="EA39" s="128">
        <v>125</v>
      </c>
      <c r="EB39" s="128">
        <v>126</v>
      </c>
      <c r="EC39" s="128">
        <v>127</v>
      </c>
      <c r="ED39" s="128">
        <v>128</v>
      </c>
    </row>
    <row r="40" spans="2:134" s="62" customFormat="1" ht="12.6" customHeight="1">
      <c r="B40" s="128" t="s">
        <v>414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>
        <v>1</v>
      </c>
      <c r="P40" s="128">
        <v>2</v>
      </c>
      <c r="Q40" s="128">
        <v>3</v>
      </c>
      <c r="R40" s="128">
        <v>4</v>
      </c>
      <c r="S40" s="128">
        <v>5</v>
      </c>
      <c r="T40" s="128">
        <v>6</v>
      </c>
      <c r="U40" s="128">
        <v>7</v>
      </c>
      <c r="V40" s="128">
        <v>8</v>
      </c>
      <c r="W40" s="128">
        <v>9</v>
      </c>
      <c r="X40" s="128">
        <v>10</v>
      </c>
      <c r="Y40" s="128">
        <v>11</v>
      </c>
      <c r="Z40" s="128">
        <v>12</v>
      </c>
      <c r="AA40" s="128">
        <v>13</v>
      </c>
      <c r="AB40" s="128">
        <v>14</v>
      </c>
      <c r="AC40" s="128">
        <v>15</v>
      </c>
      <c r="AD40" s="128">
        <v>16</v>
      </c>
      <c r="AE40" s="128">
        <v>17</v>
      </c>
      <c r="AF40" s="128">
        <v>18</v>
      </c>
      <c r="AG40" s="128">
        <v>19</v>
      </c>
      <c r="AH40" s="128">
        <v>20</v>
      </c>
      <c r="AI40" s="128">
        <v>21</v>
      </c>
      <c r="AJ40" s="128">
        <v>22</v>
      </c>
      <c r="AK40" s="128">
        <v>23</v>
      </c>
      <c r="AL40" s="128">
        <v>24</v>
      </c>
      <c r="AM40" s="128">
        <v>25</v>
      </c>
      <c r="AN40" s="128">
        <v>26</v>
      </c>
      <c r="AO40" s="128">
        <v>27</v>
      </c>
      <c r="AP40" s="128">
        <v>28</v>
      </c>
      <c r="AQ40" s="128">
        <v>29</v>
      </c>
      <c r="AR40" s="128">
        <v>30</v>
      </c>
      <c r="AS40" s="128">
        <v>31</v>
      </c>
      <c r="AT40" s="128">
        <v>32</v>
      </c>
      <c r="AU40" s="128">
        <v>33</v>
      </c>
      <c r="AV40" s="128">
        <v>34</v>
      </c>
      <c r="AW40" s="128">
        <v>35</v>
      </c>
      <c r="AX40" s="128">
        <v>36</v>
      </c>
      <c r="AY40" s="128">
        <v>37</v>
      </c>
      <c r="AZ40" s="128">
        <v>38</v>
      </c>
      <c r="BA40" s="128">
        <v>39</v>
      </c>
      <c r="BB40" s="128">
        <v>40</v>
      </c>
      <c r="BC40" s="128">
        <v>41</v>
      </c>
      <c r="BD40" s="128">
        <v>42</v>
      </c>
      <c r="BE40" s="128">
        <v>43</v>
      </c>
      <c r="BF40" s="128">
        <v>44</v>
      </c>
      <c r="BG40" s="128">
        <v>45</v>
      </c>
      <c r="BH40" s="128">
        <v>46</v>
      </c>
      <c r="BI40" s="128">
        <v>47</v>
      </c>
      <c r="BJ40" s="128">
        <v>48</v>
      </c>
      <c r="BK40" s="128">
        <v>49</v>
      </c>
      <c r="BL40" s="128">
        <v>50</v>
      </c>
      <c r="BM40" s="128">
        <v>51</v>
      </c>
      <c r="BN40" s="128">
        <v>52</v>
      </c>
      <c r="BO40" s="128">
        <v>53</v>
      </c>
      <c r="BP40" s="128">
        <v>54</v>
      </c>
      <c r="BQ40" s="128">
        <v>55</v>
      </c>
      <c r="BR40" s="128">
        <v>56</v>
      </c>
      <c r="BS40" s="128">
        <v>57</v>
      </c>
      <c r="BT40" s="128">
        <v>58</v>
      </c>
      <c r="BU40" s="128">
        <v>59</v>
      </c>
      <c r="BV40" s="128">
        <v>60</v>
      </c>
      <c r="BW40" s="128">
        <v>61</v>
      </c>
      <c r="BX40" s="128">
        <v>62</v>
      </c>
      <c r="BY40" s="128">
        <v>63</v>
      </c>
      <c r="BZ40" s="128">
        <v>64</v>
      </c>
      <c r="CA40" s="128">
        <v>65</v>
      </c>
      <c r="CB40" s="128">
        <v>66</v>
      </c>
      <c r="CC40" s="128">
        <v>67</v>
      </c>
      <c r="CD40" s="128">
        <v>68</v>
      </c>
      <c r="CE40" s="128">
        <v>69</v>
      </c>
      <c r="CF40" s="128">
        <v>70</v>
      </c>
      <c r="CG40" s="128">
        <v>71</v>
      </c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</row>
    <row r="41" spans="2:134" s="62" customFormat="1" ht="12.6" customHeight="1">
      <c r="B41" s="128" t="s">
        <v>415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98"/>
      <c r="AB41" s="98"/>
      <c r="AC41" s="98"/>
      <c r="AD41" s="98"/>
      <c r="AE41" s="98"/>
      <c r="AF41" s="98">
        <v>1</v>
      </c>
      <c r="AG41" s="98">
        <v>2</v>
      </c>
      <c r="AH41" s="98">
        <v>3</v>
      </c>
      <c r="AI41" s="98">
        <v>4</v>
      </c>
      <c r="AJ41" s="98">
        <v>5</v>
      </c>
      <c r="AK41" s="98">
        <v>6</v>
      </c>
      <c r="AL41" s="98">
        <v>7</v>
      </c>
      <c r="AM41" s="98">
        <v>8</v>
      </c>
      <c r="AN41" s="98">
        <v>9</v>
      </c>
      <c r="AO41" s="98">
        <v>10</v>
      </c>
      <c r="AP41" s="98">
        <v>11</v>
      </c>
      <c r="AQ41" s="98">
        <v>12</v>
      </c>
      <c r="AR41" s="98">
        <v>13</v>
      </c>
      <c r="AS41" s="98">
        <v>14</v>
      </c>
      <c r="AT41" s="98">
        <v>15</v>
      </c>
      <c r="AU41" s="98">
        <v>16</v>
      </c>
      <c r="AV41" s="98">
        <v>17</v>
      </c>
      <c r="AW41" s="98">
        <v>18</v>
      </c>
      <c r="AX41" s="98">
        <v>19</v>
      </c>
      <c r="AY41" s="98">
        <v>20</v>
      </c>
      <c r="AZ41" s="98">
        <v>21</v>
      </c>
      <c r="BA41" s="98">
        <v>22</v>
      </c>
      <c r="BB41" s="98">
        <v>23</v>
      </c>
      <c r="BC41" s="98">
        <v>24</v>
      </c>
      <c r="BD41" s="98">
        <v>25</v>
      </c>
      <c r="BE41" s="98">
        <v>26</v>
      </c>
      <c r="BF41" s="98">
        <v>27</v>
      </c>
      <c r="BG41" s="98">
        <v>28</v>
      </c>
      <c r="BH41" s="98">
        <v>29</v>
      </c>
      <c r="BI41" s="98">
        <v>30</v>
      </c>
      <c r="BJ41" s="98">
        <v>31</v>
      </c>
      <c r="BK41" s="98">
        <v>32</v>
      </c>
      <c r="BL41" s="98">
        <v>33</v>
      </c>
      <c r="BM41" s="98">
        <v>34</v>
      </c>
      <c r="BN41" s="98">
        <v>35</v>
      </c>
      <c r="BO41" s="98">
        <v>36</v>
      </c>
      <c r="BP41" s="98">
        <v>37</v>
      </c>
      <c r="BQ41" s="98">
        <v>38</v>
      </c>
      <c r="BR41" s="98">
        <v>39</v>
      </c>
      <c r="BS41" s="98">
        <v>40</v>
      </c>
      <c r="BT41" s="98">
        <v>41</v>
      </c>
      <c r="BU41" s="98">
        <v>42</v>
      </c>
      <c r="BV41" s="98">
        <v>43</v>
      </c>
      <c r="BW41" s="98">
        <v>44</v>
      </c>
      <c r="BX41" s="98">
        <v>45</v>
      </c>
      <c r="BY41" s="98">
        <v>46</v>
      </c>
      <c r="BZ41" s="98">
        <v>47</v>
      </c>
      <c r="CA41" s="98">
        <v>48</v>
      </c>
      <c r="CB41" s="98">
        <v>49</v>
      </c>
      <c r="CC41" s="98">
        <v>50</v>
      </c>
      <c r="CD41" s="98">
        <v>51</v>
      </c>
      <c r="CE41" s="98">
        <v>52</v>
      </c>
      <c r="CF41" s="98">
        <v>53</v>
      </c>
      <c r="CG41" s="98">
        <v>54</v>
      </c>
      <c r="CH41" s="98">
        <v>55</v>
      </c>
      <c r="CI41" s="98">
        <v>56</v>
      </c>
      <c r="CJ41" s="98">
        <v>57</v>
      </c>
      <c r="CK41" s="98">
        <v>58</v>
      </c>
      <c r="CL41" s="98">
        <v>59</v>
      </c>
      <c r="CM41" s="98">
        <v>60</v>
      </c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</row>
    <row r="42" spans="2:134" s="62" customFormat="1" ht="12.6" customHeight="1">
      <c r="B42" s="128" t="s">
        <v>412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>
        <v>1</v>
      </c>
      <c r="AS42" s="98">
        <v>2</v>
      </c>
      <c r="AT42" s="98">
        <v>3</v>
      </c>
      <c r="AU42" s="98">
        <v>4</v>
      </c>
      <c r="AV42" s="98">
        <v>5</v>
      </c>
      <c r="AW42" s="98">
        <v>6</v>
      </c>
      <c r="AX42" s="98">
        <v>7</v>
      </c>
      <c r="AY42" s="98">
        <v>8</v>
      </c>
      <c r="AZ42" s="98">
        <v>9</v>
      </c>
      <c r="BA42" s="98">
        <v>10</v>
      </c>
      <c r="BB42" s="98">
        <v>11</v>
      </c>
      <c r="BC42" s="98">
        <v>12</v>
      </c>
      <c r="BD42" s="98">
        <v>13</v>
      </c>
      <c r="BE42" s="98">
        <v>14</v>
      </c>
      <c r="BF42" s="98">
        <v>15</v>
      </c>
      <c r="BG42" s="98">
        <v>16</v>
      </c>
      <c r="BH42" s="98">
        <v>17</v>
      </c>
      <c r="BI42" s="98">
        <v>18</v>
      </c>
      <c r="BJ42" s="98">
        <v>19</v>
      </c>
      <c r="BK42" s="98">
        <v>20</v>
      </c>
      <c r="BL42" s="98">
        <v>21</v>
      </c>
      <c r="BM42" s="98">
        <v>22</v>
      </c>
      <c r="BN42" s="98">
        <v>23</v>
      </c>
      <c r="BO42" s="98">
        <v>24</v>
      </c>
      <c r="BP42" s="98">
        <v>25</v>
      </c>
      <c r="BQ42" s="98">
        <v>26</v>
      </c>
      <c r="BR42" s="98">
        <v>27</v>
      </c>
      <c r="BS42" s="98">
        <v>28</v>
      </c>
      <c r="BT42" s="98">
        <v>29</v>
      </c>
      <c r="BU42" s="98">
        <v>30</v>
      </c>
      <c r="BV42" s="98">
        <v>31</v>
      </c>
      <c r="BW42" s="98">
        <v>32</v>
      </c>
      <c r="BX42" s="98">
        <v>33</v>
      </c>
      <c r="BY42" s="98">
        <v>34</v>
      </c>
      <c r="BZ42" s="98">
        <v>35</v>
      </c>
      <c r="CA42" s="98">
        <v>36</v>
      </c>
      <c r="CB42" s="98">
        <v>37</v>
      </c>
      <c r="CC42" s="98">
        <v>38</v>
      </c>
      <c r="CD42" s="98">
        <v>39</v>
      </c>
      <c r="CE42" s="98">
        <v>40</v>
      </c>
      <c r="CF42" s="98">
        <v>41</v>
      </c>
      <c r="CG42" s="98">
        <v>42</v>
      </c>
      <c r="CH42" s="98">
        <v>43</v>
      </c>
      <c r="CI42" s="98">
        <v>44</v>
      </c>
      <c r="CJ42" s="98">
        <v>45</v>
      </c>
      <c r="CK42" s="98">
        <v>46</v>
      </c>
      <c r="CL42" s="98">
        <v>47</v>
      </c>
      <c r="CM42" s="98">
        <v>48</v>
      </c>
      <c r="CN42" s="98">
        <v>49</v>
      </c>
      <c r="CO42" s="98">
        <v>50</v>
      </c>
      <c r="CP42" s="98">
        <v>51</v>
      </c>
      <c r="CQ42" s="98">
        <v>52</v>
      </c>
      <c r="CR42" s="98">
        <v>53</v>
      </c>
      <c r="CS42" s="98">
        <v>54</v>
      </c>
      <c r="CT42" s="98">
        <v>55</v>
      </c>
      <c r="CU42" s="98">
        <v>56</v>
      </c>
      <c r="CV42" s="98">
        <v>57</v>
      </c>
      <c r="CW42" s="98">
        <v>58</v>
      </c>
      <c r="CX42" s="98">
        <v>59</v>
      </c>
      <c r="CY42" s="98">
        <v>60</v>
      </c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</row>
    <row r="43" spans="2:134" s="62" customFormat="1" ht="12.6" customHeight="1">
      <c r="B43" s="128" t="s">
        <v>413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>
        <v>1</v>
      </c>
      <c r="BE43" s="98">
        <v>2</v>
      </c>
      <c r="BF43" s="98">
        <v>3</v>
      </c>
      <c r="BG43" s="98">
        <v>4</v>
      </c>
      <c r="BH43" s="98">
        <v>5</v>
      </c>
      <c r="BI43" s="98">
        <v>6</v>
      </c>
      <c r="BJ43" s="98">
        <v>7</v>
      </c>
      <c r="BK43" s="98">
        <v>8</v>
      </c>
      <c r="BL43" s="98">
        <v>9</v>
      </c>
      <c r="BM43" s="98">
        <v>10</v>
      </c>
      <c r="BN43" s="98">
        <v>11</v>
      </c>
      <c r="BO43" s="98">
        <v>12</v>
      </c>
      <c r="BP43" s="98">
        <v>13</v>
      </c>
      <c r="BQ43" s="98">
        <v>14</v>
      </c>
      <c r="BR43" s="98">
        <v>15</v>
      </c>
      <c r="BS43" s="98">
        <v>16</v>
      </c>
      <c r="BT43" s="98">
        <v>17</v>
      </c>
      <c r="BU43" s="98">
        <v>18</v>
      </c>
      <c r="BV43" s="98">
        <v>19</v>
      </c>
      <c r="BW43" s="98">
        <v>20</v>
      </c>
      <c r="BX43" s="98">
        <v>21</v>
      </c>
      <c r="BY43" s="98">
        <v>22</v>
      </c>
      <c r="BZ43" s="98">
        <v>23</v>
      </c>
      <c r="CA43" s="98">
        <v>24</v>
      </c>
      <c r="CB43" s="98">
        <v>25</v>
      </c>
      <c r="CC43" s="98">
        <v>26</v>
      </c>
      <c r="CD43" s="98">
        <v>27</v>
      </c>
      <c r="CE43" s="98">
        <v>28</v>
      </c>
      <c r="CF43" s="98">
        <v>29</v>
      </c>
      <c r="CG43" s="98">
        <v>30</v>
      </c>
      <c r="CH43" s="98">
        <v>31</v>
      </c>
      <c r="CI43" s="98">
        <v>32</v>
      </c>
      <c r="CJ43" s="98">
        <v>33</v>
      </c>
      <c r="CK43" s="98">
        <v>34</v>
      </c>
      <c r="CL43" s="98">
        <v>35</v>
      </c>
      <c r="CM43" s="98">
        <v>36</v>
      </c>
      <c r="CN43" s="98">
        <v>37</v>
      </c>
      <c r="CO43" s="98">
        <v>38</v>
      </c>
      <c r="CP43" s="98">
        <v>39</v>
      </c>
      <c r="CQ43" s="98">
        <v>40</v>
      </c>
      <c r="CR43" s="98">
        <v>41</v>
      </c>
      <c r="CS43" s="98">
        <v>42</v>
      </c>
      <c r="CT43" s="98">
        <v>43</v>
      </c>
      <c r="CU43" s="98">
        <v>44</v>
      </c>
      <c r="CV43" s="98">
        <v>45</v>
      </c>
      <c r="CW43" s="98">
        <v>46</v>
      </c>
      <c r="CX43" s="98">
        <v>47</v>
      </c>
      <c r="CY43" s="98">
        <v>48</v>
      </c>
      <c r="CZ43" s="98">
        <v>49</v>
      </c>
      <c r="DA43" s="98">
        <v>50</v>
      </c>
      <c r="DB43" s="98">
        <v>51</v>
      </c>
      <c r="DC43" s="98">
        <v>52</v>
      </c>
      <c r="DD43" s="98">
        <v>53</v>
      </c>
      <c r="DE43" s="98">
        <v>54</v>
      </c>
      <c r="DF43" s="98">
        <v>55</v>
      </c>
      <c r="DG43" s="98">
        <v>56</v>
      </c>
      <c r="DH43" s="98">
        <v>57</v>
      </c>
      <c r="DI43" s="98">
        <v>58</v>
      </c>
      <c r="DJ43" s="98">
        <v>59</v>
      </c>
      <c r="DK43" s="98">
        <v>60</v>
      </c>
      <c r="DL43" s="9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</row>
    <row r="44" spans="2:134" s="60" customFormat="1" ht="12.6" customHeight="1">
      <c r="B44" s="413" t="s">
        <v>444</v>
      </c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  <c r="T44" s="413"/>
      <c r="U44" s="413"/>
      <c r="V44" s="413"/>
      <c r="W44" s="413">
        <v>1</v>
      </c>
      <c r="X44" s="413">
        <v>2</v>
      </c>
      <c r="Y44" s="413">
        <v>3</v>
      </c>
      <c r="Z44" s="413">
        <v>4</v>
      </c>
      <c r="AA44" s="413">
        <v>5</v>
      </c>
      <c r="AB44" s="413">
        <v>6</v>
      </c>
      <c r="AC44" s="413">
        <v>7</v>
      </c>
      <c r="AD44" s="413">
        <v>8</v>
      </c>
      <c r="AE44" s="413">
        <v>9</v>
      </c>
      <c r="AF44" s="413">
        <v>10</v>
      </c>
      <c r="AG44" s="413">
        <v>11</v>
      </c>
      <c r="AH44" s="413">
        <v>12</v>
      </c>
      <c r="AI44" s="413">
        <v>13</v>
      </c>
      <c r="AJ44" s="413">
        <v>14</v>
      </c>
      <c r="AK44" s="413">
        <v>15</v>
      </c>
      <c r="AL44" s="413">
        <v>16</v>
      </c>
      <c r="AM44" s="413">
        <v>17</v>
      </c>
      <c r="AN44" s="413">
        <v>18</v>
      </c>
      <c r="AO44" s="413">
        <v>19</v>
      </c>
      <c r="AP44" s="413">
        <v>20</v>
      </c>
      <c r="AQ44" s="413">
        <v>21</v>
      </c>
      <c r="AR44" s="413">
        <v>22</v>
      </c>
      <c r="AS44" s="413">
        <v>23</v>
      </c>
      <c r="AT44" s="413">
        <v>24</v>
      </c>
      <c r="AU44" s="413">
        <v>25</v>
      </c>
      <c r="AV44" s="413">
        <v>26</v>
      </c>
      <c r="AW44" s="413">
        <v>27</v>
      </c>
      <c r="AX44" s="413">
        <v>28</v>
      </c>
      <c r="AY44" s="413">
        <v>29</v>
      </c>
      <c r="AZ44" s="413">
        <v>30</v>
      </c>
      <c r="BA44" s="413">
        <v>31</v>
      </c>
      <c r="BB44" s="413">
        <v>32</v>
      </c>
      <c r="BC44" s="413">
        <v>33</v>
      </c>
      <c r="BD44" s="413">
        <v>34</v>
      </c>
      <c r="BE44" s="413">
        <v>35</v>
      </c>
      <c r="BF44" s="413">
        <v>36</v>
      </c>
      <c r="BG44" s="413">
        <v>37</v>
      </c>
      <c r="BH44" s="413">
        <v>38</v>
      </c>
      <c r="BI44" s="413">
        <v>39</v>
      </c>
      <c r="BJ44" s="413">
        <v>40</v>
      </c>
      <c r="BK44" s="413">
        <v>41</v>
      </c>
      <c r="BL44" s="413">
        <v>42</v>
      </c>
      <c r="BM44" s="413">
        <v>43</v>
      </c>
      <c r="BN44" s="413">
        <v>44</v>
      </c>
      <c r="BO44" s="413">
        <v>45</v>
      </c>
      <c r="BP44" s="413">
        <v>46</v>
      </c>
      <c r="BQ44" s="413">
        <v>47</v>
      </c>
      <c r="BR44" s="413">
        <v>48</v>
      </c>
      <c r="BS44" s="413">
        <v>49</v>
      </c>
      <c r="BT44" s="413">
        <v>50</v>
      </c>
      <c r="BU44" s="413">
        <v>51</v>
      </c>
      <c r="BV44" s="413">
        <v>52</v>
      </c>
      <c r="BW44" s="413">
        <v>53</v>
      </c>
      <c r="BX44" s="413">
        <v>54</v>
      </c>
      <c r="BY44" s="413">
        <v>55</v>
      </c>
      <c r="BZ44" s="413">
        <v>56</v>
      </c>
      <c r="CA44" s="413">
        <v>57</v>
      </c>
      <c r="CB44" s="413">
        <v>58</v>
      </c>
      <c r="CC44" s="413">
        <v>59</v>
      </c>
      <c r="CD44" s="413">
        <v>60</v>
      </c>
      <c r="CE44" s="413">
        <v>61</v>
      </c>
      <c r="CF44" s="413">
        <v>62</v>
      </c>
      <c r="CG44" s="413">
        <v>63</v>
      </c>
      <c r="CH44" s="414"/>
      <c r="CI44" s="414"/>
      <c r="CJ44" s="414"/>
      <c r="CK44" s="414"/>
      <c r="CL44" s="414"/>
      <c r="CM44" s="414"/>
      <c r="CN44" s="414"/>
      <c r="CO44" s="414"/>
      <c r="CP44" s="414"/>
      <c r="CQ44" s="414"/>
      <c r="CR44" s="414"/>
      <c r="CS44" s="414"/>
      <c r="CT44" s="414"/>
      <c r="CU44" s="414"/>
      <c r="CV44" s="414"/>
      <c r="CW44" s="414"/>
      <c r="CX44" s="414"/>
      <c r="CY44" s="414"/>
      <c r="CZ44" s="414"/>
      <c r="DA44" s="414"/>
      <c r="DB44" s="414"/>
      <c r="DC44" s="414"/>
      <c r="DD44" s="414"/>
      <c r="DE44" s="414"/>
      <c r="DF44" s="414"/>
      <c r="DG44" s="414"/>
      <c r="DH44" s="414"/>
      <c r="DI44" s="414"/>
      <c r="DJ44" s="414"/>
      <c r="DK44" s="414"/>
      <c r="DL44" s="414"/>
      <c r="DM44" s="413"/>
      <c r="DN44" s="413"/>
      <c r="DO44" s="413"/>
      <c r="DP44" s="413"/>
      <c r="DQ44" s="413"/>
      <c r="DR44" s="413"/>
      <c r="DS44" s="413"/>
      <c r="DT44" s="413"/>
      <c r="DU44" s="413"/>
      <c r="DV44" s="413"/>
      <c r="DW44" s="413"/>
      <c r="DX44" s="413"/>
      <c r="DY44" s="413"/>
      <c r="DZ44" s="413"/>
      <c r="EA44" s="413"/>
      <c r="EB44" s="413"/>
      <c r="EC44" s="413"/>
      <c r="ED44" s="413"/>
    </row>
    <row r="45" spans="2:134" s="62" customFormat="1" ht="12.6" customHeight="1">
      <c r="B45" s="128" t="s">
        <v>416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>
        <v>1</v>
      </c>
      <c r="AA45" s="128">
        <v>2</v>
      </c>
      <c r="AB45" s="128">
        <v>3</v>
      </c>
      <c r="AC45" s="128">
        <v>4</v>
      </c>
      <c r="AD45" s="128">
        <v>5</v>
      </c>
      <c r="AE45" s="128">
        <v>6</v>
      </c>
      <c r="AF45" s="128">
        <v>7</v>
      </c>
      <c r="AG45" s="128">
        <v>8</v>
      </c>
      <c r="AH45" s="128">
        <v>9</v>
      </c>
      <c r="AI45" s="128">
        <v>10</v>
      </c>
      <c r="AJ45" s="128">
        <v>11</v>
      </c>
      <c r="AK45" s="128">
        <v>12</v>
      </c>
      <c r="AL45" s="128">
        <v>13</v>
      </c>
      <c r="AM45" s="128">
        <v>14</v>
      </c>
      <c r="AN45" s="128">
        <v>15</v>
      </c>
      <c r="AO45" s="128">
        <v>16</v>
      </c>
      <c r="AP45" s="128">
        <v>17</v>
      </c>
      <c r="AQ45" s="128">
        <v>18</v>
      </c>
      <c r="AR45" s="128">
        <v>19</v>
      </c>
      <c r="AS45" s="128">
        <v>20</v>
      </c>
      <c r="AT45" s="128">
        <v>21</v>
      </c>
      <c r="AU45" s="128">
        <v>22</v>
      </c>
      <c r="AV45" s="128">
        <v>23</v>
      </c>
      <c r="AW45" s="128">
        <v>24</v>
      </c>
      <c r="AX45" s="128">
        <v>25</v>
      </c>
      <c r="AY45" s="128">
        <v>26</v>
      </c>
      <c r="AZ45" s="128">
        <v>27</v>
      </c>
      <c r="BA45" s="128">
        <v>28</v>
      </c>
      <c r="BB45" s="128">
        <v>29</v>
      </c>
      <c r="BC45" s="128">
        <v>30</v>
      </c>
      <c r="BD45" s="128">
        <v>31</v>
      </c>
      <c r="BE45" s="128">
        <v>32</v>
      </c>
      <c r="BF45" s="128">
        <v>33</v>
      </c>
      <c r="BG45" s="128">
        <v>34</v>
      </c>
      <c r="BH45" s="128">
        <v>35</v>
      </c>
      <c r="BI45" s="128">
        <v>36</v>
      </c>
      <c r="BJ45" s="128">
        <v>37</v>
      </c>
      <c r="BK45" s="128">
        <v>38</v>
      </c>
      <c r="BL45" s="128">
        <v>39</v>
      </c>
      <c r="BM45" s="128">
        <v>40</v>
      </c>
      <c r="BN45" s="128">
        <v>41</v>
      </c>
      <c r="BO45" s="128">
        <v>42</v>
      </c>
      <c r="BP45" s="128">
        <v>43</v>
      </c>
      <c r="BQ45" s="128">
        <v>44</v>
      </c>
      <c r="BR45" s="128">
        <v>45</v>
      </c>
      <c r="BS45" s="128">
        <v>46</v>
      </c>
      <c r="BT45" s="128">
        <v>47</v>
      </c>
      <c r="BU45" s="128">
        <v>48</v>
      </c>
      <c r="BV45" s="128">
        <v>49</v>
      </c>
      <c r="BW45" s="128">
        <v>50</v>
      </c>
      <c r="BX45" s="128">
        <v>51</v>
      </c>
      <c r="BY45" s="128">
        <v>52</v>
      </c>
      <c r="BZ45" s="128">
        <v>53</v>
      </c>
      <c r="CA45" s="128">
        <v>54</v>
      </c>
      <c r="CB45" s="128">
        <v>55</v>
      </c>
      <c r="CC45" s="128">
        <v>56</v>
      </c>
      <c r="CD45" s="128">
        <v>57</v>
      </c>
      <c r="CE45" s="128">
        <v>58</v>
      </c>
      <c r="CF45" s="128">
        <v>59</v>
      </c>
      <c r="CG45" s="128">
        <v>60</v>
      </c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</row>
    <row r="46" spans="2:134" s="62" customFormat="1" ht="12.6" customHeight="1">
      <c r="B46" s="128" t="s">
        <v>417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98"/>
      <c r="AB46" s="98"/>
      <c r="AC46" s="98"/>
      <c r="AD46" s="98"/>
      <c r="AE46" s="98"/>
      <c r="AF46" s="98">
        <v>1</v>
      </c>
      <c r="AG46" s="98">
        <v>2</v>
      </c>
      <c r="AH46" s="98">
        <v>3</v>
      </c>
      <c r="AI46" s="98">
        <v>4</v>
      </c>
      <c r="AJ46" s="98">
        <v>5</v>
      </c>
      <c r="AK46" s="98">
        <v>6</v>
      </c>
      <c r="AL46" s="98">
        <v>7</v>
      </c>
      <c r="AM46" s="98">
        <v>8</v>
      </c>
      <c r="AN46" s="98">
        <v>9</v>
      </c>
      <c r="AO46" s="98">
        <v>10</v>
      </c>
      <c r="AP46" s="98">
        <v>11</v>
      </c>
      <c r="AQ46" s="98">
        <v>12</v>
      </c>
      <c r="AR46" s="98">
        <v>13</v>
      </c>
      <c r="AS46" s="98">
        <v>14</v>
      </c>
      <c r="AT46" s="98">
        <v>15</v>
      </c>
      <c r="AU46" s="98">
        <v>16</v>
      </c>
      <c r="AV46" s="98">
        <v>17</v>
      </c>
      <c r="AW46" s="98">
        <v>18</v>
      </c>
      <c r="AX46" s="98">
        <v>19</v>
      </c>
      <c r="AY46" s="98">
        <v>20</v>
      </c>
      <c r="AZ46" s="98">
        <v>21</v>
      </c>
      <c r="BA46" s="98">
        <v>22</v>
      </c>
      <c r="BB46" s="98">
        <v>23</v>
      </c>
      <c r="BC46" s="98">
        <v>24</v>
      </c>
      <c r="BD46" s="98">
        <v>25</v>
      </c>
      <c r="BE46" s="98">
        <v>26</v>
      </c>
      <c r="BF46" s="98">
        <v>27</v>
      </c>
      <c r="BG46" s="98">
        <v>28</v>
      </c>
      <c r="BH46" s="98">
        <v>29</v>
      </c>
      <c r="BI46" s="98">
        <v>30</v>
      </c>
      <c r="BJ46" s="98">
        <v>31</v>
      </c>
      <c r="BK46" s="98">
        <v>32</v>
      </c>
      <c r="BL46" s="98">
        <v>33</v>
      </c>
      <c r="BM46" s="98">
        <v>34</v>
      </c>
      <c r="BN46" s="98">
        <v>35</v>
      </c>
      <c r="BO46" s="98">
        <v>36</v>
      </c>
      <c r="BP46" s="98">
        <v>37</v>
      </c>
      <c r="BQ46" s="98">
        <v>38</v>
      </c>
      <c r="BR46" s="98">
        <v>39</v>
      </c>
      <c r="BS46" s="98">
        <v>40</v>
      </c>
      <c r="BT46" s="98">
        <v>41</v>
      </c>
      <c r="BU46" s="98">
        <v>42</v>
      </c>
      <c r="BV46" s="98">
        <v>43</v>
      </c>
      <c r="BW46" s="98">
        <v>44</v>
      </c>
      <c r="BX46" s="98">
        <v>45</v>
      </c>
      <c r="BY46" s="98">
        <v>46</v>
      </c>
      <c r="BZ46" s="98">
        <v>47</v>
      </c>
      <c r="CA46" s="98">
        <v>48</v>
      </c>
      <c r="CB46" s="98">
        <v>49</v>
      </c>
      <c r="CC46" s="98">
        <v>50</v>
      </c>
      <c r="CD46" s="98">
        <v>51</v>
      </c>
      <c r="CE46" s="98">
        <v>52</v>
      </c>
      <c r="CF46" s="98">
        <v>53</v>
      </c>
      <c r="CG46" s="98">
        <v>54</v>
      </c>
      <c r="CH46" s="98">
        <v>55</v>
      </c>
      <c r="CI46" s="98">
        <v>56</v>
      </c>
      <c r="CJ46" s="98">
        <v>57</v>
      </c>
      <c r="CK46" s="98">
        <v>58</v>
      </c>
      <c r="CL46" s="98">
        <v>59</v>
      </c>
      <c r="CM46" s="98">
        <v>60</v>
      </c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</row>
    <row r="47" spans="2:134" s="62" customFormat="1" ht="12.6" customHeight="1">
      <c r="B47" s="128" t="s">
        <v>418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>
        <v>1</v>
      </c>
      <c r="AS47" s="98">
        <v>2</v>
      </c>
      <c r="AT47" s="98">
        <v>3</v>
      </c>
      <c r="AU47" s="98">
        <v>4</v>
      </c>
      <c r="AV47" s="98">
        <v>5</v>
      </c>
      <c r="AW47" s="98">
        <v>6</v>
      </c>
      <c r="AX47" s="98">
        <v>7</v>
      </c>
      <c r="AY47" s="98">
        <v>8</v>
      </c>
      <c r="AZ47" s="98">
        <v>9</v>
      </c>
      <c r="BA47" s="98">
        <v>10</v>
      </c>
      <c r="BB47" s="98">
        <v>11</v>
      </c>
      <c r="BC47" s="98">
        <v>12</v>
      </c>
      <c r="BD47" s="98">
        <v>13</v>
      </c>
      <c r="BE47" s="98">
        <v>14</v>
      </c>
      <c r="BF47" s="98">
        <v>15</v>
      </c>
      <c r="BG47" s="98">
        <v>16</v>
      </c>
      <c r="BH47" s="98">
        <v>17</v>
      </c>
      <c r="BI47" s="98">
        <v>18</v>
      </c>
      <c r="BJ47" s="98">
        <v>19</v>
      </c>
      <c r="BK47" s="98">
        <v>20</v>
      </c>
      <c r="BL47" s="98">
        <v>21</v>
      </c>
      <c r="BM47" s="98">
        <v>22</v>
      </c>
      <c r="BN47" s="98">
        <v>23</v>
      </c>
      <c r="BO47" s="98">
        <v>24</v>
      </c>
      <c r="BP47" s="98">
        <v>25</v>
      </c>
      <c r="BQ47" s="98">
        <v>26</v>
      </c>
      <c r="BR47" s="98">
        <v>27</v>
      </c>
      <c r="BS47" s="98">
        <v>28</v>
      </c>
      <c r="BT47" s="98">
        <v>29</v>
      </c>
      <c r="BU47" s="98">
        <v>30</v>
      </c>
      <c r="BV47" s="98">
        <v>31</v>
      </c>
      <c r="BW47" s="98">
        <v>32</v>
      </c>
      <c r="BX47" s="98">
        <v>33</v>
      </c>
      <c r="BY47" s="98">
        <v>34</v>
      </c>
      <c r="BZ47" s="98">
        <v>35</v>
      </c>
      <c r="CA47" s="98">
        <v>36</v>
      </c>
      <c r="CB47" s="98">
        <v>37</v>
      </c>
      <c r="CC47" s="98">
        <v>38</v>
      </c>
      <c r="CD47" s="98">
        <v>39</v>
      </c>
      <c r="CE47" s="98">
        <v>40</v>
      </c>
      <c r="CF47" s="98">
        <v>41</v>
      </c>
      <c r="CG47" s="98">
        <v>42</v>
      </c>
      <c r="CH47" s="98">
        <v>43</v>
      </c>
      <c r="CI47" s="98">
        <v>44</v>
      </c>
      <c r="CJ47" s="98">
        <v>45</v>
      </c>
      <c r="CK47" s="98">
        <v>46</v>
      </c>
      <c r="CL47" s="98">
        <v>47</v>
      </c>
      <c r="CM47" s="98">
        <v>48</v>
      </c>
      <c r="CN47" s="98">
        <v>49</v>
      </c>
      <c r="CO47" s="98">
        <v>50</v>
      </c>
      <c r="CP47" s="98">
        <v>51</v>
      </c>
      <c r="CQ47" s="98">
        <v>52</v>
      </c>
      <c r="CR47" s="98">
        <v>53</v>
      </c>
      <c r="CS47" s="98">
        <v>54</v>
      </c>
      <c r="CT47" s="98">
        <v>55</v>
      </c>
      <c r="CU47" s="98">
        <v>56</v>
      </c>
      <c r="CV47" s="98">
        <v>57</v>
      </c>
      <c r="CW47" s="98">
        <v>58</v>
      </c>
      <c r="CX47" s="98">
        <v>59</v>
      </c>
      <c r="CY47" s="98">
        <v>60</v>
      </c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</row>
    <row r="48" spans="2:134" s="62" customFormat="1" ht="12.6" customHeight="1">
      <c r="B48" s="128" t="s">
        <v>419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>
        <v>1</v>
      </c>
      <c r="BE48" s="98">
        <v>2</v>
      </c>
      <c r="BF48" s="98">
        <v>3</v>
      </c>
      <c r="BG48" s="98">
        <v>4</v>
      </c>
      <c r="BH48" s="98">
        <v>5</v>
      </c>
      <c r="BI48" s="98">
        <v>6</v>
      </c>
      <c r="BJ48" s="98">
        <v>7</v>
      </c>
      <c r="BK48" s="98">
        <v>8</v>
      </c>
      <c r="BL48" s="98">
        <v>9</v>
      </c>
      <c r="BM48" s="98">
        <v>10</v>
      </c>
      <c r="BN48" s="98">
        <v>11</v>
      </c>
      <c r="BO48" s="98">
        <v>12</v>
      </c>
      <c r="BP48" s="98">
        <v>13</v>
      </c>
      <c r="BQ48" s="98">
        <v>14</v>
      </c>
      <c r="BR48" s="98">
        <v>15</v>
      </c>
      <c r="BS48" s="98">
        <v>16</v>
      </c>
      <c r="BT48" s="98">
        <v>17</v>
      </c>
      <c r="BU48" s="98">
        <v>18</v>
      </c>
      <c r="BV48" s="98">
        <v>19</v>
      </c>
      <c r="BW48" s="98">
        <v>20</v>
      </c>
      <c r="BX48" s="98">
        <v>21</v>
      </c>
      <c r="BY48" s="98">
        <v>22</v>
      </c>
      <c r="BZ48" s="98">
        <v>23</v>
      </c>
      <c r="CA48" s="98">
        <v>24</v>
      </c>
      <c r="CB48" s="98">
        <v>25</v>
      </c>
      <c r="CC48" s="98">
        <v>26</v>
      </c>
      <c r="CD48" s="98">
        <v>27</v>
      </c>
      <c r="CE48" s="98">
        <v>28</v>
      </c>
      <c r="CF48" s="98">
        <v>29</v>
      </c>
      <c r="CG48" s="98">
        <v>30</v>
      </c>
      <c r="CH48" s="98">
        <v>31</v>
      </c>
      <c r="CI48" s="98">
        <v>32</v>
      </c>
      <c r="CJ48" s="98">
        <v>33</v>
      </c>
      <c r="CK48" s="98">
        <v>34</v>
      </c>
      <c r="CL48" s="98">
        <v>35</v>
      </c>
      <c r="CM48" s="98">
        <v>36</v>
      </c>
      <c r="CN48" s="98">
        <v>37</v>
      </c>
      <c r="CO48" s="98">
        <v>38</v>
      </c>
      <c r="CP48" s="98">
        <v>39</v>
      </c>
      <c r="CQ48" s="98">
        <v>40</v>
      </c>
      <c r="CR48" s="98">
        <v>41</v>
      </c>
      <c r="CS48" s="98">
        <v>42</v>
      </c>
      <c r="CT48" s="98">
        <v>43</v>
      </c>
      <c r="CU48" s="98">
        <v>44</v>
      </c>
      <c r="CV48" s="98">
        <v>45</v>
      </c>
      <c r="CW48" s="98">
        <v>46</v>
      </c>
      <c r="CX48" s="98">
        <v>47</v>
      </c>
      <c r="CY48" s="98">
        <v>48</v>
      </c>
      <c r="CZ48" s="98">
        <v>49</v>
      </c>
      <c r="DA48" s="98">
        <v>50</v>
      </c>
      <c r="DB48" s="98">
        <v>51</v>
      </c>
      <c r="DC48" s="98">
        <v>52</v>
      </c>
      <c r="DD48" s="98">
        <v>53</v>
      </c>
      <c r="DE48" s="98">
        <v>54</v>
      </c>
      <c r="DF48" s="98">
        <v>55</v>
      </c>
      <c r="DG48" s="98">
        <v>56</v>
      </c>
      <c r="DH48" s="98">
        <v>57</v>
      </c>
      <c r="DI48" s="98">
        <v>58</v>
      </c>
      <c r="DJ48" s="98">
        <v>59</v>
      </c>
      <c r="DK48" s="98">
        <v>60</v>
      </c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</row>
    <row r="49" spans="2:134" s="60" customFormat="1" ht="12.6" customHeight="1">
      <c r="B49" s="413" t="s">
        <v>445</v>
      </c>
      <c r="C49" s="413"/>
      <c r="D49" s="413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>
        <v>1</v>
      </c>
      <c r="AA49" s="413">
        <v>2</v>
      </c>
      <c r="AB49" s="413">
        <v>3</v>
      </c>
      <c r="AC49" s="413">
        <v>4</v>
      </c>
      <c r="AD49" s="413">
        <v>5</v>
      </c>
      <c r="AE49" s="413">
        <v>6</v>
      </c>
      <c r="AF49" s="413">
        <v>7</v>
      </c>
      <c r="AG49" s="413">
        <v>8</v>
      </c>
      <c r="AH49" s="413">
        <v>9</v>
      </c>
      <c r="AI49" s="413">
        <v>10</v>
      </c>
      <c r="AJ49" s="413">
        <v>11</v>
      </c>
      <c r="AK49" s="413">
        <v>12</v>
      </c>
      <c r="AL49" s="413">
        <v>13</v>
      </c>
      <c r="AM49" s="413">
        <v>14</v>
      </c>
      <c r="AN49" s="413">
        <v>15</v>
      </c>
      <c r="AO49" s="413">
        <v>16</v>
      </c>
      <c r="AP49" s="413">
        <v>17</v>
      </c>
      <c r="AQ49" s="413">
        <v>18</v>
      </c>
      <c r="AR49" s="413">
        <v>19</v>
      </c>
      <c r="AS49" s="413">
        <v>20</v>
      </c>
      <c r="AT49" s="413">
        <v>21</v>
      </c>
      <c r="AU49" s="413">
        <v>22</v>
      </c>
      <c r="AV49" s="413">
        <v>23</v>
      </c>
      <c r="AW49" s="413">
        <v>24</v>
      </c>
      <c r="AX49" s="413">
        <v>25</v>
      </c>
      <c r="AY49" s="413">
        <v>26</v>
      </c>
      <c r="AZ49" s="413">
        <v>27</v>
      </c>
      <c r="BA49" s="413">
        <v>28</v>
      </c>
      <c r="BB49" s="413">
        <v>29</v>
      </c>
      <c r="BC49" s="413">
        <v>30</v>
      </c>
      <c r="BD49" s="413">
        <v>31</v>
      </c>
      <c r="BE49" s="413">
        <v>32</v>
      </c>
      <c r="BF49" s="413">
        <v>33</v>
      </c>
      <c r="BG49" s="413">
        <v>34</v>
      </c>
      <c r="BH49" s="413">
        <v>35</v>
      </c>
      <c r="BI49" s="413">
        <v>36</v>
      </c>
      <c r="BJ49" s="413">
        <v>37</v>
      </c>
      <c r="BK49" s="413">
        <v>38</v>
      </c>
      <c r="BL49" s="413">
        <v>39</v>
      </c>
      <c r="BM49" s="413">
        <v>40</v>
      </c>
      <c r="BN49" s="413">
        <v>41</v>
      </c>
      <c r="BO49" s="413">
        <v>42</v>
      </c>
      <c r="BP49" s="413">
        <v>43</v>
      </c>
      <c r="BQ49" s="413">
        <v>44</v>
      </c>
      <c r="BR49" s="413">
        <v>45</v>
      </c>
      <c r="BS49" s="413">
        <v>46</v>
      </c>
      <c r="BT49" s="413">
        <v>47</v>
      </c>
      <c r="BU49" s="413">
        <v>48</v>
      </c>
      <c r="BV49" s="413">
        <v>49</v>
      </c>
      <c r="BW49" s="413">
        <v>50</v>
      </c>
      <c r="BX49" s="413">
        <v>51</v>
      </c>
      <c r="BY49" s="413">
        <v>52</v>
      </c>
      <c r="BZ49" s="413">
        <v>53</v>
      </c>
      <c r="CA49" s="413">
        <v>54</v>
      </c>
      <c r="CB49" s="413">
        <v>55</v>
      </c>
      <c r="CC49" s="413">
        <v>56</v>
      </c>
      <c r="CD49" s="413">
        <v>57</v>
      </c>
      <c r="CE49" s="413">
        <v>58</v>
      </c>
      <c r="CF49" s="413">
        <v>59</v>
      </c>
      <c r="CG49" s="413">
        <v>60</v>
      </c>
      <c r="CH49" s="414"/>
      <c r="CI49" s="414"/>
      <c r="CJ49" s="414"/>
      <c r="CK49" s="414"/>
      <c r="CL49" s="414"/>
      <c r="CM49" s="414"/>
      <c r="CN49" s="414"/>
      <c r="CO49" s="414"/>
      <c r="CP49" s="414"/>
      <c r="CQ49" s="414"/>
      <c r="CR49" s="414"/>
      <c r="CS49" s="414"/>
      <c r="CT49" s="414"/>
      <c r="CU49" s="414"/>
      <c r="CV49" s="414"/>
      <c r="CW49" s="414"/>
      <c r="CX49" s="414"/>
      <c r="CY49" s="414"/>
      <c r="CZ49" s="414"/>
      <c r="DA49" s="414"/>
      <c r="DB49" s="414"/>
      <c r="DC49" s="414"/>
      <c r="DD49" s="414"/>
      <c r="DE49" s="414"/>
      <c r="DF49" s="414"/>
      <c r="DG49" s="414"/>
      <c r="DH49" s="414"/>
      <c r="DI49" s="414"/>
      <c r="DJ49" s="414"/>
      <c r="DK49" s="414"/>
      <c r="DL49" s="414"/>
      <c r="DM49" s="414"/>
      <c r="DN49" s="414"/>
      <c r="DO49" s="414"/>
      <c r="DP49" s="414"/>
      <c r="DQ49" s="414"/>
      <c r="DR49" s="414"/>
      <c r="DS49" s="414"/>
      <c r="DT49" s="414"/>
      <c r="DU49" s="414"/>
      <c r="DV49" s="414"/>
      <c r="DW49" s="414"/>
      <c r="DX49" s="414"/>
      <c r="DY49" s="414"/>
      <c r="DZ49" s="414"/>
      <c r="EA49" s="414"/>
      <c r="EB49" s="414"/>
      <c r="EC49" s="414"/>
      <c r="ED49" s="414"/>
    </row>
    <row r="50" spans="2:134" s="62" customFormat="1" ht="12.6" customHeight="1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</row>
    <row r="51" spans="2:134" s="129" customFormat="1" ht="12.6" customHeight="1">
      <c r="B51" s="59" t="s">
        <v>6</v>
      </c>
      <c r="C51" s="365">
        <f>Исх.данные!B7</f>
        <v>6.0228105983049819E-2</v>
      </c>
      <c r="D51" s="365">
        <f>POWER(1+C51,1/12)-1</f>
        <v>4.8855689376539058E-3</v>
      </c>
      <c r="E51" s="59"/>
      <c r="F51" s="59"/>
      <c r="I51" s="59"/>
      <c r="J51" s="211">
        <f t="shared" ref="J51:AC51" si="633">POWER(1+I51,1/12)-1</f>
        <v>0</v>
      </c>
      <c r="K51" s="211">
        <f t="shared" si="633"/>
        <v>0</v>
      </c>
      <c r="L51" s="211">
        <f t="shared" si="633"/>
        <v>0</v>
      </c>
      <c r="M51" s="211">
        <f t="shared" si="633"/>
        <v>0</v>
      </c>
      <c r="N51" s="211">
        <f t="shared" si="633"/>
        <v>0</v>
      </c>
      <c r="O51" s="211">
        <f t="shared" si="633"/>
        <v>0</v>
      </c>
      <c r="P51" s="211">
        <f t="shared" si="633"/>
        <v>0</v>
      </c>
      <c r="Q51" s="211">
        <f t="shared" si="633"/>
        <v>0</v>
      </c>
      <c r="R51" s="211">
        <f t="shared" si="633"/>
        <v>0</v>
      </c>
      <c r="S51" s="211">
        <f t="shared" si="633"/>
        <v>0</v>
      </c>
      <c r="T51" s="211">
        <f t="shared" si="633"/>
        <v>0</v>
      </c>
      <c r="U51" s="211">
        <f t="shared" si="633"/>
        <v>0</v>
      </c>
      <c r="V51" s="211">
        <f t="shared" si="633"/>
        <v>0</v>
      </c>
      <c r="W51" s="211">
        <f t="shared" si="633"/>
        <v>0</v>
      </c>
      <c r="X51" s="211">
        <f t="shared" si="633"/>
        <v>0</v>
      </c>
      <c r="Y51" s="211">
        <f t="shared" si="633"/>
        <v>0</v>
      </c>
      <c r="Z51" s="211">
        <f t="shared" si="633"/>
        <v>0</v>
      </c>
      <c r="AA51" s="211">
        <f t="shared" si="633"/>
        <v>0</v>
      </c>
      <c r="AB51" s="211">
        <f t="shared" si="633"/>
        <v>0</v>
      </c>
      <c r="AC51" s="211">
        <f t="shared" si="633"/>
        <v>0</v>
      </c>
      <c r="AD51" s="211">
        <f>POWER(1+AC51,1/12)-1</f>
        <v>0</v>
      </c>
      <c r="AE51" s="211">
        <f t="shared" ref="AE51:AX51" si="634">POWER(1+AD51,1/12)-1</f>
        <v>0</v>
      </c>
      <c r="AF51" s="211">
        <f t="shared" si="634"/>
        <v>0</v>
      </c>
      <c r="AG51" s="211">
        <f t="shared" si="634"/>
        <v>0</v>
      </c>
      <c r="AH51" s="211">
        <f t="shared" si="634"/>
        <v>0</v>
      </c>
      <c r="AI51" s="211">
        <f t="shared" si="634"/>
        <v>0</v>
      </c>
      <c r="AJ51" s="211">
        <f t="shared" si="634"/>
        <v>0</v>
      </c>
      <c r="AK51" s="211">
        <f t="shared" si="634"/>
        <v>0</v>
      </c>
      <c r="AL51" s="211">
        <f t="shared" si="634"/>
        <v>0</v>
      </c>
      <c r="AM51" s="211">
        <f t="shared" si="634"/>
        <v>0</v>
      </c>
      <c r="AN51" s="211">
        <f t="shared" si="634"/>
        <v>0</v>
      </c>
      <c r="AO51" s="211">
        <f t="shared" si="634"/>
        <v>0</v>
      </c>
      <c r="AP51" s="211">
        <f t="shared" si="634"/>
        <v>0</v>
      </c>
      <c r="AQ51" s="211">
        <f t="shared" si="634"/>
        <v>0</v>
      </c>
      <c r="AR51" s="211">
        <f t="shared" si="634"/>
        <v>0</v>
      </c>
      <c r="AS51" s="211">
        <f t="shared" si="634"/>
        <v>0</v>
      </c>
      <c r="AT51" s="211">
        <f t="shared" si="634"/>
        <v>0</v>
      </c>
      <c r="AU51" s="211">
        <f t="shared" si="634"/>
        <v>0</v>
      </c>
      <c r="AV51" s="211">
        <f t="shared" si="634"/>
        <v>0</v>
      </c>
      <c r="AW51" s="211">
        <f t="shared" si="634"/>
        <v>0</v>
      </c>
      <c r="AX51" s="211">
        <f t="shared" si="634"/>
        <v>0</v>
      </c>
      <c r="AY51" s="211">
        <f t="shared" ref="AY51" si="635">POWER(1+AX51,1/12)-1</f>
        <v>0</v>
      </c>
      <c r="AZ51" s="211">
        <f t="shared" ref="AZ51" si="636">POWER(1+AY51,1/12)-1</f>
        <v>0</v>
      </c>
      <c r="BA51" s="211">
        <f t="shared" ref="BA51" si="637">POWER(1+AZ51,1/12)-1</f>
        <v>0</v>
      </c>
      <c r="BB51" s="211">
        <f t="shared" ref="BB51" si="638">POWER(1+BA51,1/12)-1</f>
        <v>0</v>
      </c>
      <c r="BC51" s="211">
        <f t="shared" ref="BC51" si="639">POWER(1+BB51,1/12)-1</f>
        <v>0</v>
      </c>
      <c r="BD51" s="211">
        <f t="shared" ref="BD51" si="640">POWER(1+BC51,1/12)-1</f>
        <v>0</v>
      </c>
      <c r="BE51" s="211">
        <f t="shared" ref="BE51" si="641">POWER(1+BD51,1/12)-1</f>
        <v>0</v>
      </c>
      <c r="BF51" s="211">
        <f t="shared" ref="BF51" si="642">POWER(1+BE51,1/12)-1</f>
        <v>0</v>
      </c>
      <c r="BG51" s="211">
        <f t="shared" ref="BG51" si="643">POWER(1+BF51,1/12)-1</f>
        <v>0</v>
      </c>
      <c r="BH51" s="211">
        <f t="shared" ref="BH51" si="644">POWER(1+BG51,1/12)-1</f>
        <v>0</v>
      </c>
      <c r="BI51" s="211">
        <f t="shared" ref="BI51" si="645">POWER(1+BH51,1/12)-1</f>
        <v>0</v>
      </c>
      <c r="BJ51" s="211">
        <f t="shared" ref="BJ51" si="646">POWER(1+BI51,1/12)-1</f>
        <v>0</v>
      </c>
      <c r="BK51" s="211">
        <f t="shared" ref="BK51" si="647">POWER(1+BJ51,1/12)-1</f>
        <v>0</v>
      </c>
      <c r="BL51" s="211">
        <f t="shared" ref="BL51" si="648">POWER(1+BK51,1/12)-1</f>
        <v>0</v>
      </c>
      <c r="BM51" s="211">
        <f t="shared" ref="BM51" si="649">POWER(1+BL51,1/12)-1</f>
        <v>0</v>
      </c>
      <c r="BN51" s="211">
        <f t="shared" ref="BN51" si="650">POWER(1+BM51,1/12)-1</f>
        <v>0</v>
      </c>
      <c r="BO51" s="211">
        <f t="shared" ref="BO51" si="651">POWER(1+BN51,1/12)-1</f>
        <v>0</v>
      </c>
      <c r="BP51" s="211">
        <f t="shared" ref="BP51" si="652">POWER(1+BO51,1/12)-1</f>
        <v>0</v>
      </c>
      <c r="BQ51" s="211">
        <f t="shared" ref="BQ51" si="653">POWER(1+BP51,1/12)-1</f>
        <v>0</v>
      </c>
      <c r="BR51" s="211">
        <f t="shared" ref="BR51" si="654">POWER(1+BQ51,1/12)-1</f>
        <v>0</v>
      </c>
      <c r="BS51" s="211">
        <f t="shared" ref="BS51" si="655">POWER(1+BR51,1/12)-1</f>
        <v>0</v>
      </c>
      <c r="BT51" s="211">
        <f t="shared" ref="BT51" si="656">POWER(1+BS51,1/12)-1</f>
        <v>0</v>
      </c>
      <c r="BU51" s="211">
        <f t="shared" ref="BU51" si="657">POWER(1+BT51,1/12)-1</f>
        <v>0</v>
      </c>
      <c r="BV51" s="211">
        <f t="shared" ref="BV51" si="658">POWER(1+BU51,1/12)-1</f>
        <v>0</v>
      </c>
      <c r="BW51" s="211">
        <f t="shared" ref="BW51" si="659">POWER(1+BV51,1/12)-1</f>
        <v>0</v>
      </c>
      <c r="BX51" s="211">
        <f t="shared" ref="BX51" si="660">POWER(1+BW51,1/12)-1</f>
        <v>0</v>
      </c>
      <c r="BY51" s="211">
        <f t="shared" ref="BY51" si="661">POWER(1+BX51,1/12)-1</f>
        <v>0</v>
      </c>
      <c r="BZ51" s="211">
        <f t="shared" ref="BZ51" si="662">POWER(1+BY51,1/12)-1</f>
        <v>0</v>
      </c>
      <c r="CA51" s="211">
        <f t="shared" ref="CA51" si="663">POWER(1+BZ51,1/12)-1</f>
        <v>0</v>
      </c>
      <c r="CB51" s="211">
        <f t="shared" ref="CB51" si="664">POWER(1+CA51,1/12)-1</f>
        <v>0</v>
      </c>
      <c r="CC51" s="211">
        <f t="shared" ref="CC51" si="665">POWER(1+CB51,1/12)-1</f>
        <v>0</v>
      </c>
      <c r="CD51" s="211">
        <f t="shared" ref="CD51" si="666">POWER(1+CC51,1/12)-1</f>
        <v>0</v>
      </c>
      <c r="CE51" s="211">
        <f t="shared" ref="CE51" si="667">POWER(1+CD51,1/12)-1</f>
        <v>0</v>
      </c>
      <c r="CF51" s="211">
        <f t="shared" ref="CF51" si="668">POWER(1+CE51,1/12)-1</f>
        <v>0</v>
      </c>
      <c r="CG51" s="211">
        <f t="shared" ref="CG51" si="669">POWER(1+CF51,1/12)-1</f>
        <v>0</v>
      </c>
      <c r="CH51" s="211">
        <f t="shared" ref="CH51" si="670">POWER(1+CG51,1/12)-1</f>
        <v>0</v>
      </c>
      <c r="CI51" s="211">
        <f t="shared" ref="CI51" si="671">POWER(1+CH51,1/12)-1</f>
        <v>0</v>
      </c>
      <c r="CJ51" s="211">
        <f t="shared" ref="CJ51" si="672">POWER(1+CI51,1/12)-1</f>
        <v>0</v>
      </c>
      <c r="CK51" s="211">
        <f t="shared" ref="CK51" si="673">POWER(1+CJ51,1/12)-1</f>
        <v>0</v>
      </c>
      <c r="CL51" s="211">
        <f t="shared" ref="CL51" si="674">POWER(1+CK51,1/12)-1</f>
        <v>0</v>
      </c>
      <c r="CM51" s="211">
        <f t="shared" ref="CM51" si="675">POWER(1+CL51,1/12)-1</f>
        <v>0</v>
      </c>
      <c r="CN51" s="211">
        <f t="shared" ref="CN51" si="676">POWER(1+CM51,1/12)-1</f>
        <v>0</v>
      </c>
      <c r="CO51" s="211">
        <f t="shared" ref="CO51" si="677">POWER(1+CN51,1/12)-1</f>
        <v>0</v>
      </c>
      <c r="CP51" s="211">
        <f t="shared" ref="CP51" si="678">POWER(1+CO51,1/12)-1</f>
        <v>0</v>
      </c>
      <c r="CQ51" s="211">
        <f t="shared" ref="CQ51" si="679">POWER(1+CP51,1/12)-1</f>
        <v>0</v>
      </c>
      <c r="CR51" s="211">
        <f t="shared" ref="CR51" si="680">POWER(1+CQ51,1/12)-1</f>
        <v>0</v>
      </c>
      <c r="CS51" s="211">
        <f t="shared" ref="CS51" si="681">POWER(1+CR51,1/12)-1</f>
        <v>0</v>
      </c>
      <c r="CT51" s="211">
        <f t="shared" ref="CT51" si="682">POWER(1+CS51,1/12)-1</f>
        <v>0</v>
      </c>
      <c r="CU51" s="211">
        <f t="shared" ref="CU51" si="683">POWER(1+CT51,1/12)-1</f>
        <v>0</v>
      </c>
      <c r="CV51" s="211">
        <f t="shared" ref="CV51" si="684">POWER(1+CU51,1/12)-1</f>
        <v>0</v>
      </c>
      <c r="CW51" s="211">
        <f t="shared" ref="CW51" si="685">POWER(1+CV51,1/12)-1</f>
        <v>0</v>
      </c>
      <c r="CX51" s="211">
        <f t="shared" ref="CX51" si="686">POWER(1+CW51,1/12)-1</f>
        <v>0</v>
      </c>
      <c r="CY51" s="211">
        <f t="shared" ref="CY51" si="687">POWER(1+CX51,1/12)-1</f>
        <v>0</v>
      </c>
      <c r="CZ51" s="211">
        <f t="shared" ref="CZ51" si="688">POWER(1+CY51,1/12)-1</f>
        <v>0</v>
      </c>
      <c r="DA51" s="211">
        <f t="shared" ref="DA51" si="689">POWER(1+CZ51,1/12)-1</f>
        <v>0</v>
      </c>
      <c r="DB51" s="211">
        <f t="shared" ref="DB51" si="690">POWER(1+DA51,1/12)-1</f>
        <v>0</v>
      </c>
      <c r="DC51" s="211">
        <f t="shared" ref="DC51" si="691">POWER(1+DB51,1/12)-1</f>
        <v>0</v>
      </c>
      <c r="DD51" s="211">
        <f t="shared" ref="DD51" si="692">POWER(1+DC51,1/12)-1</f>
        <v>0</v>
      </c>
      <c r="DE51" s="211">
        <f t="shared" ref="DE51" si="693">POWER(1+DD51,1/12)-1</f>
        <v>0</v>
      </c>
      <c r="DF51" s="211">
        <f t="shared" ref="DF51" si="694">POWER(1+DE51,1/12)-1</f>
        <v>0</v>
      </c>
      <c r="DG51" s="211">
        <f t="shared" ref="DG51" si="695">POWER(1+DF51,1/12)-1</f>
        <v>0</v>
      </c>
      <c r="DH51" s="211">
        <f t="shared" ref="DH51" si="696">POWER(1+DG51,1/12)-1</f>
        <v>0</v>
      </c>
      <c r="DI51" s="211">
        <f t="shared" ref="DI51" si="697">POWER(1+DH51,1/12)-1</f>
        <v>0</v>
      </c>
      <c r="DJ51" s="211">
        <f t="shared" ref="DJ51" si="698">POWER(1+DI51,1/12)-1</f>
        <v>0</v>
      </c>
      <c r="DK51" s="211">
        <f t="shared" ref="DK51" si="699">POWER(1+DJ51,1/12)-1</f>
        <v>0</v>
      </c>
      <c r="DL51" s="211">
        <f t="shared" ref="DL51" si="700">POWER(1+DK51,1/12)-1</f>
        <v>0</v>
      </c>
      <c r="DM51" s="211">
        <f t="shared" ref="DM51" si="701">POWER(1+DL51,1/12)-1</f>
        <v>0</v>
      </c>
      <c r="DN51" s="211">
        <f t="shared" ref="DN51" si="702">POWER(1+DM51,1/12)-1</f>
        <v>0</v>
      </c>
      <c r="DO51" s="211">
        <f t="shared" ref="DO51" si="703">POWER(1+DN51,1/12)-1</f>
        <v>0</v>
      </c>
      <c r="DP51" s="211">
        <f t="shared" ref="DP51" si="704">POWER(1+DO51,1/12)-1</f>
        <v>0</v>
      </c>
      <c r="DQ51" s="211">
        <f t="shared" ref="DQ51" si="705">POWER(1+DP51,1/12)-1</f>
        <v>0</v>
      </c>
      <c r="DR51" s="211">
        <f t="shared" ref="DR51" si="706">POWER(1+DQ51,1/12)-1</f>
        <v>0</v>
      </c>
      <c r="DS51" s="211">
        <f t="shared" ref="DS51" si="707">POWER(1+DR51,1/12)-1</f>
        <v>0</v>
      </c>
      <c r="DT51" s="211">
        <f t="shared" ref="DT51" si="708">POWER(1+DS51,1/12)-1</f>
        <v>0</v>
      </c>
      <c r="DU51" s="211">
        <f t="shared" ref="DU51" si="709">POWER(1+DT51,1/12)-1</f>
        <v>0</v>
      </c>
      <c r="DV51" s="211">
        <f t="shared" ref="DV51" si="710">POWER(1+DU51,1/12)-1</f>
        <v>0</v>
      </c>
      <c r="DW51" s="211">
        <f t="shared" ref="DW51" si="711">POWER(1+DV51,1/12)-1</f>
        <v>0</v>
      </c>
      <c r="DX51" s="211">
        <f t="shared" ref="DX51" si="712">POWER(1+DW51,1/12)-1</f>
        <v>0</v>
      </c>
      <c r="DY51" s="211">
        <f t="shared" ref="DY51" si="713">POWER(1+DX51,1/12)-1</f>
        <v>0</v>
      </c>
      <c r="DZ51" s="211">
        <f t="shared" ref="DZ51" si="714">POWER(1+DY51,1/12)-1</f>
        <v>0</v>
      </c>
      <c r="EA51" s="211">
        <f t="shared" ref="EA51" si="715">POWER(1+DZ51,1/12)-1</f>
        <v>0</v>
      </c>
      <c r="EB51" s="211">
        <f t="shared" ref="EB51" si="716">POWER(1+EA51,1/12)-1</f>
        <v>0</v>
      </c>
      <c r="EC51" s="211">
        <f t="shared" ref="EC51" si="717">POWER(1+EB51,1/12)-1</f>
        <v>0</v>
      </c>
      <c r="ED51" s="211">
        <f t="shared" ref="ED51" si="718">POWER(1+EC51,1/12)-1</f>
        <v>0</v>
      </c>
    </row>
    <row r="52" spans="2:134" s="214" customFormat="1" ht="11.45" customHeight="1">
      <c r="B52" s="213"/>
      <c r="C52" s="199">
        <v>1</v>
      </c>
      <c r="D52" s="199"/>
      <c r="E52" s="213"/>
      <c r="F52" s="213"/>
      <c r="G52" s="199">
        <f t="shared" ref="G52:AL52" si="719">1/POWER(1+$D$51,G39-1)</f>
        <v>1</v>
      </c>
      <c r="H52" s="199">
        <f t="shared" si="719"/>
        <v>0.99513818380055075</v>
      </c>
      <c r="I52" s="199">
        <f t="shared" si="719"/>
        <v>0.99030000485785863</v>
      </c>
      <c r="J52" s="199">
        <f t="shared" si="719"/>
        <v>0.98548534825192613</v>
      </c>
      <c r="K52" s="199">
        <f t="shared" si="719"/>
        <v>0.9806940996214748</v>
      </c>
      <c r="L52" s="199">
        <f t="shared" si="719"/>
        <v>0.97592614516123077</v>
      </c>
      <c r="M52" s="199">
        <f t="shared" si="719"/>
        <v>0.97118137161921991</v>
      </c>
      <c r="N52" s="199">
        <f t="shared" si="719"/>
        <v>0.9664596662940782</v>
      </c>
      <c r="O52" s="199">
        <f t="shared" si="719"/>
        <v>0.96176091703237521</v>
      </c>
      <c r="P52" s="199">
        <f t="shared" si="719"/>
        <v>0.9570850122259501</v>
      </c>
      <c r="Q52" s="199">
        <f t="shared" si="719"/>
        <v>0.95243184080925991</v>
      </c>
      <c r="R52" s="199">
        <f t="shared" si="719"/>
        <v>0.94780129225674214</v>
      </c>
      <c r="S52" s="199">
        <f t="shared" si="719"/>
        <v>0.94319325658018915</v>
      </c>
      <c r="T52" s="199">
        <f t="shared" si="719"/>
        <v>0.93860762432613609</v>
      </c>
      <c r="U52" s="199">
        <f t="shared" si="719"/>
        <v>0.934044286573261</v>
      </c>
      <c r="V52" s="199">
        <f t="shared" si="719"/>
        <v>0.92950313492979597</v>
      </c>
      <c r="W52" s="199">
        <f t="shared" si="719"/>
        <v>0.92498406153095536</v>
      </c>
      <c r="X52" s="199">
        <f t="shared" si="719"/>
        <v>0.92048695903637179</v>
      </c>
      <c r="Y52" s="199">
        <f t="shared" si="719"/>
        <v>0.91601172062754699</v>
      </c>
      <c r="Z52" s="199">
        <f t="shared" si="719"/>
        <v>0.91155824000531449</v>
      </c>
      <c r="AA52" s="199">
        <f t="shared" si="719"/>
        <v>0.90712641138731509</v>
      </c>
      <c r="AB52" s="199">
        <f t="shared" si="719"/>
        <v>0.90271612950548397</v>
      </c>
      <c r="AC52" s="199">
        <f t="shared" si="719"/>
        <v>0.89832728960355013</v>
      </c>
      <c r="AD52" s="199">
        <f t="shared" si="719"/>
        <v>0.89395978743454818</v>
      </c>
      <c r="AE52" s="199">
        <f t="shared" si="719"/>
        <v>0.88961351925834264</v>
      </c>
      <c r="AF52" s="199">
        <f t="shared" si="719"/>
        <v>0.88528838183916347</v>
      </c>
      <c r="AG52" s="199">
        <f t="shared" si="719"/>
        <v>0.88098427244315347</v>
      </c>
      <c r="AH52" s="199">
        <f t="shared" si="719"/>
        <v>0.87670108883592923</v>
      </c>
      <c r="AI52" s="199">
        <f t="shared" si="719"/>
        <v>0.87243872928015187</v>
      </c>
      <c r="AJ52" s="199">
        <f t="shared" si="719"/>
        <v>0.8681970925331105</v>
      </c>
      <c r="AK52" s="199">
        <f t="shared" si="719"/>
        <v>0.86397607784431862</v>
      </c>
      <c r="AL52" s="199">
        <f t="shared" si="719"/>
        <v>0.85977558495311834</v>
      </c>
      <c r="AM52" s="199">
        <f t="shared" ref="AM52:BR52" si="720">1/POWER(1+$D$51,AM39-1)</f>
        <v>0.85559551408630219</v>
      </c>
      <c r="AN52" s="199">
        <f t="shared" si="720"/>
        <v>0.85143576595574133</v>
      </c>
      <c r="AO52" s="199">
        <f t="shared" si="720"/>
        <v>0.84729624175602714</v>
      </c>
      <c r="AP52" s="199">
        <f t="shared" si="720"/>
        <v>0.84317684316212527</v>
      </c>
      <c r="AQ52" s="199">
        <f t="shared" si="720"/>
        <v>0.839077472327039</v>
      </c>
      <c r="AR52" s="199">
        <f t="shared" si="720"/>
        <v>0.8349980318794864</v>
      </c>
      <c r="AS52" s="199">
        <f t="shared" si="720"/>
        <v>0.83093842492158665</v>
      </c>
      <c r="AT52" s="199">
        <f t="shared" si="720"/>
        <v>0.82689855502655785</v>
      </c>
      <c r="AU52" s="199">
        <f t="shared" si="720"/>
        <v>0.82287832623642854</v>
      </c>
      <c r="AV52" s="199">
        <f t="shared" si="720"/>
        <v>0.81887764305975652</v>
      </c>
      <c r="AW52" s="199">
        <f t="shared" si="720"/>
        <v>0.8148964104693619</v>
      </c>
      <c r="AX52" s="199">
        <f t="shared" si="720"/>
        <v>0.81093453390006875</v>
      </c>
      <c r="AY52" s="199">
        <f t="shared" si="720"/>
        <v>0.80699191924646052</v>
      </c>
      <c r="AZ52" s="199">
        <f t="shared" si="720"/>
        <v>0.8030684728606432</v>
      </c>
      <c r="BA52" s="199">
        <f t="shared" si="720"/>
        <v>0.79916410155002271</v>
      </c>
      <c r="BB52" s="199">
        <f t="shared" si="720"/>
        <v>0.79527871257508831</v>
      </c>
      <c r="BC52" s="199">
        <f t="shared" si="720"/>
        <v>0.79141221364721359</v>
      </c>
      <c r="BD52" s="199">
        <f t="shared" si="720"/>
        <v>0.78756451292646157</v>
      </c>
      <c r="BE52" s="199">
        <f t="shared" si="720"/>
        <v>0.78373551901940441</v>
      </c>
      <c r="BF52" s="199">
        <f t="shared" si="720"/>
        <v>0.77992514097695187</v>
      </c>
      <c r="BG52" s="199">
        <f t="shared" si="720"/>
        <v>0.7761332882921923</v>
      </c>
      <c r="BH52" s="199">
        <f t="shared" si="720"/>
        <v>0.77235987089824154</v>
      </c>
      <c r="BI52" s="199">
        <f t="shared" si="720"/>
        <v>0.76860479916610402</v>
      </c>
      <c r="BJ52" s="199">
        <f t="shared" si="720"/>
        <v>0.76486798390254374</v>
      </c>
      <c r="BK52" s="199">
        <f t="shared" si="720"/>
        <v>0.76114933634796622</v>
      </c>
      <c r="BL52" s="199">
        <f t="shared" si="720"/>
        <v>0.75744876817430962</v>
      </c>
      <c r="BM52" s="199">
        <f t="shared" si="720"/>
        <v>0.75376619148294677</v>
      </c>
      <c r="BN52" s="199">
        <f t="shared" si="720"/>
        <v>0.75010151880259779</v>
      </c>
      <c r="BO52" s="199">
        <f t="shared" si="720"/>
        <v>0.74645466308725172</v>
      </c>
      <c r="BP52" s="199">
        <f t="shared" si="720"/>
        <v>0.74282553771409954</v>
      </c>
      <c r="BQ52" s="199">
        <f t="shared" si="720"/>
        <v>0.73921405648147676</v>
      </c>
      <c r="BR52" s="199">
        <f t="shared" si="720"/>
        <v>0.73562013360681455</v>
      </c>
      <c r="BS52" s="199">
        <f t="shared" ref="BS52:CX52" si="721">1/POWER(1+$D$51,BS39-1)</f>
        <v>0.73204368372460382</v>
      </c>
      <c r="BT52" s="199">
        <f t="shared" si="721"/>
        <v>0.72848462188436702</v>
      </c>
      <c r="BU52" s="199">
        <f t="shared" si="721"/>
        <v>0.7249428635486399</v>
      </c>
      <c r="BV52" s="199">
        <f t="shared" si="721"/>
        <v>0.72141832459096411</v>
      </c>
      <c r="BW52" s="199">
        <f t="shared" si="721"/>
        <v>0.717910921293888</v>
      </c>
      <c r="BX52" s="199">
        <f t="shared" si="721"/>
        <v>0.7144205703469797</v>
      </c>
      <c r="BY52" s="199">
        <f t="shared" si="721"/>
        <v>0.7109471888448472</v>
      </c>
      <c r="BZ52" s="199">
        <f t="shared" si="721"/>
        <v>0.70749069428516831</v>
      </c>
      <c r="CA52" s="199">
        <f t="shared" si="721"/>
        <v>0.70405100456673297</v>
      </c>
      <c r="CB52" s="199">
        <f t="shared" si="721"/>
        <v>0.70062803798749196</v>
      </c>
      <c r="CC52" s="199">
        <f t="shared" si="721"/>
        <v>0.69722171324261617</v>
      </c>
      <c r="CD52" s="199">
        <f t="shared" si="721"/>
        <v>0.69383194942256532</v>
      </c>
      <c r="CE52" s="199">
        <f t="shared" si="721"/>
        <v>0.69045866601116712</v>
      </c>
      <c r="CF52" s="199">
        <f t="shared" si="721"/>
        <v>0.68710178288370383</v>
      </c>
      <c r="CG52" s="199">
        <f t="shared" si="721"/>
        <v>0.68376122030500952</v>
      </c>
      <c r="CH52" s="199">
        <f t="shared" si="721"/>
        <v>0.68043689892757531</v>
      </c>
      <c r="CI52" s="199">
        <f t="shared" si="721"/>
        <v>0.67712873978966615</v>
      </c>
      <c r="CJ52" s="199">
        <f t="shared" si="721"/>
        <v>0.67383666431344413</v>
      </c>
      <c r="CK52" s="199">
        <f t="shared" si="721"/>
        <v>0.67056059430310222</v>
      </c>
      <c r="CL52" s="199">
        <f t="shared" si="721"/>
        <v>0.66730045194300691</v>
      </c>
      <c r="CM52" s="199">
        <f t="shared" si="721"/>
        <v>0.66405615979585053</v>
      </c>
      <c r="CN52" s="199">
        <f t="shared" si="721"/>
        <v>0.66082764080081091</v>
      </c>
      <c r="CO52" s="199">
        <f t="shared" si="721"/>
        <v>0.65761481827172175</v>
      </c>
      <c r="CP52" s="199">
        <f t="shared" si="721"/>
        <v>0.65441761589525038</v>
      </c>
      <c r="CQ52" s="199">
        <f t="shared" si="721"/>
        <v>0.65123595772908593</v>
      </c>
      <c r="CR52" s="199">
        <f t="shared" si="721"/>
        <v>0.64806976820013484</v>
      </c>
      <c r="CS52" s="199">
        <f t="shared" si="721"/>
        <v>0.64491897210272608</v>
      </c>
      <c r="CT52" s="199">
        <f t="shared" si="721"/>
        <v>0.64178349459682482</v>
      </c>
      <c r="CU52" s="199">
        <f t="shared" si="721"/>
        <v>0.63866326120625472</v>
      </c>
      <c r="CV52" s="199">
        <f t="shared" si="721"/>
        <v>0.63555819781692902</v>
      </c>
      <c r="CW52" s="199">
        <f t="shared" si="721"/>
        <v>0.63246823067509006</v>
      </c>
      <c r="CX52" s="199">
        <f t="shared" si="721"/>
        <v>0.6293932863855568</v>
      </c>
      <c r="CY52" s="199">
        <f t="shared" ref="CY52:ED52" si="722">1/POWER(1+$D$51,CY39-1)</f>
        <v>0.62633329190998277</v>
      </c>
      <c r="CZ52" s="199">
        <f t="shared" si="722"/>
        <v>0.62328817456512053</v>
      </c>
      <c r="DA52" s="199">
        <f t="shared" si="722"/>
        <v>0.62025786202109456</v>
      </c>
      <c r="DB52" s="199">
        <f t="shared" si="722"/>
        <v>0.6172422822996847</v>
      </c>
      <c r="DC52" s="199">
        <f t="shared" si="722"/>
        <v>0.61424136377261496</v>
      </c>
      <c r="DD52" s="199">
        <f t="shared" si="722"/>
        <v>0.61125503515985335</v>
      </c>
      <c r="DE52" s="199">
        <f t="shared" si="722"/>
        <v>0.60828322552791836</v>
      </c>
      <c r="DF52" s="199">
        <f t="shared" si="722"/>
        <v>0.60532586428819346</v>
      </c>
      <c r="DG52" s="199">
        <f t="shared" si="722"/>
        <v>0.60238288119525141</v>
      </c>
      <c r="DH52" s="199">
        <f t="shared" si="722"/>
        <v>0.59945420634518543</v>
      </c>
      <c r="DI52" s="199">
        <f t="shared" si="722"/>
        <v>0.59653977017394844</v>
      </c>
      <c r="DJ52" s="199">
        <f t="shared" si="722"/>
        <v>0.59363950345570093</v>
      </c>
      <c r="DK52" s="199">
        <f t="shared" si="722"/>
        <v>0.59075333730116697</v>
      </c>
      <c r="DL52" s="199">
        <f t="shared" si="722"/>
        <v>0.58788120315599723</v>
      </c>
      <c r="DM52" s="199">
        <f t="shared" si="722"/>
        <v>0.58502303279914192</v>
      </c>
      <c r="DN52" s="199">
        <f t="shared" si="722"/>
        <v>0.58217875834122801</v>
      </c>
      <c r="DO52" s="199">
        <f t="shared" si="722"/>
        <v>0.57934831222294936</v>
      </c>
      <c r="DP52" s="199">
        <f t="shared" si="722"/>
        <v>0.5765316272134603</v>
      </c>
      <c r="DQ52" s="199">
        <f t="shared" si="722"/>
        <v>0.57372863640877902</v>
      </c>
      <c r="DR52" s="199">
        <f t="shared" si="722"/>
        <v>0.57093927323019877</v>
      </c>
      <c r="DS52" s="199">
        <f t="shared" si="722"/>
        <v>0.56816347142270629</v>
      </c>
      <c r="DT52" s="199">
        <f t="shared" si="722"/>
        <v>0.56540116505340809</v>
      </c>
      <c r="DU52" s="199">
        <f t="shared" si="722"/>
        <v>0.56265228850996407</v>
      </c>
      <c r="DV52" s="199">
        <f t="shared" si="722"/>
        <v>0.55991677649902905</v>
      </c>
      <c r="DW52" s="199">
        <f t="shared" si="722"/>
        <v>0.55719456404470269</v>
      </c>
      <c r="DX52" s="199">
        <f t="shared" si="722"/>
        <v>0.55448558648698509</v>
      </c>
      <c r="DY52" s="199">
        <f t="shared" si="722"/>
        <v>0.55178977948024144</v>
      </c>
      <c r="DZ52" s="199">
        <f t="shared" si="722"/>
        <v>0.54910707899167388</v>
      </c>
      <c r="EA52" s="199">
        <f t="shared" si="722"/>
        <v>0.54643742129979977</v>
      </c>
      <c r="EB52" s="199">
        <f t="shared" si="722"/>
        <v>0.5437807429929391</v>
      </c>
      <c r="EC52" s="199">
        <f t="shared" si="722"/>
        <v>0.54113698096770757</v>
      </c>
      <c r="ED52" s="199">
        <f t="shared" si="722"/>
        <v>0.53850607242751769</v>
      </c>
    </row>
    <row r="53" spans="2:134" s="62" customFormat="1" ht="12.6" customHeight="1">
      <c r="B53" s="130" t="s">
        <v>109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BJ53" s="63"/>
    </row>
    <row r="54" spans="2:134" s="62" customFormat="1" ht="12.6" customHeight="1">
      <c r="B54" s="130" t="s">
        <v>110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BJ54" s="63"/>
    </row>
    <row r="55" spans="2:134" s="62" customFormat="1" ht="12.6" customHeight="1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BJ55" s="63"/>
    </row>
    <row r="56" spans="2:134" s="62" customFormat="1" ht="18" customHeight="1">
      <c r="B56" s="56" t="s">
        <v>59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134"/>
      <c r="O56" s="134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E56" s="86"/>
      <c r="AN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CG56" s="63"/>
    </row>
    <row r="57" spans="2:134" s="62" customFormat="1" ht="12.6" customHeight="1">
      <c r="B57" s="90"/>
      <c r="C57" s="124">
        <v>2022</v>
      </c>
      <c r="D57" s="124">
        <v>2023</v>
      </c>
      <c r="E57" s="124">
        <v>2024</v>
      </c>
      <c r="F57" s="124">
        <v>2025</v>
      </c>
      <c r="G57" s="124">
        <v>2026</v>
      </c>
      <c r="H57" s="124">
        <v>2027</v>
      </c>
      <c r="I57" s="124">
        <v>2028</v>
      </c>
      <c r="J57" s="124">
        <v>2029</v>
      </c>
      <c r="K57" s="124">
        <v>2030</v>
      </c>
      <c r="L57" s="124">
        <v>2031</v>
      </c>
      <c r="M57" s="124">
        <v>2032</v>
      </c>
      <c r="N57" s="134"/>
      <c r="O57" s="134"/>
      <c r="AN57" s="133"/>
      <c r="CG57" s="63"/>
    </row>
    <row r="58" spans="2:134" s="62" customFormat="1" ht="12.6" customHeight="1">
      <c r="B58" s="225" t="s">
        <v>50</v>
      </c>
      <c r="C58" s="225">
        <f>SUM(C4:N4)</f>
        <v>-4655.7522600000002</v>
      </c>
      <c r="D58" s="225">
        <f t="shared" ref="D58:D66" si="723">SUM(O4:Z4)</f>
        <v>-169565.28042000002</v>
      </c>
      <c r="E58" s="226">
        <f t="shared" ref="E58:E66" si="724">SUM(AA4:AL4)</f>
        <v>-72405.225572000025</v>
      </c>
      <c r="F58" s="226">
        <f t="shared" ref="F58:F66" si="725">SUM(AM4:AX4)</f>
        <v>-51206.660969199955</v>
      </c>
      <c r="G58" s="226">
        <f t="shared" ref="G58:G66" si="726">SUM(AY4:BJ4)</f>
        <v>-56327.327066120022</v>
      </c>
      <c r="H58" s="226">
        <f t="shared" ref="H58:H66" si="727">SUM(BK4:BV4)</f>
        <v>0</v>
      </c>
      <c r="I58" s="226">
        <f t="shared" ref="I58:I66" si="728">SUM(BW4:CH4)</f>
        <v>0</v>
      </c>
      <c r="J58" s="226">
        <f t="shared" ref="J58:J66" si="729">SUM(CI4:CT4)</f>
        <v>0</v>
      </c>
      <c r="K58" s="226">
        <f t="shared" ref="K58:K66" si="730">SUM(CU4:DF4)</f>
        <v>0</v>
      </c>
      <c r="L58" s="226">
        <f t="shared" ref="L58:L66" si="731">SUM(DG4:DR4)</f>
        <v>0</v>
      </c>
      <c r="M58" s="226">
        <f t="shared" ref="M58:M66" si="732">SUM(DS4:ED4)</f>
        <v>0</v>
      </c>
      <c r="N58" s="134"/>
      <c r="O58" s="134"/>
    </row>
    <row r="59" spans="2:134" s="62" customFormat="1" ht="12.6" customHeight="1">
      <c r="B59" s="136" t="str">
        <f>B5</f>
        <v xml:space="preserve">Капитальные вложения </v>
      </c>
      <c r="C59" s="72">
        <f t="shared" ref="C59" si="733">SUM(C5:N5)</f>
        <v>4655.7522600000002</v>
      </c>
      <c r="D59" s="72">
        <f t="shared" si="723"/>
        <v>169565.28042000002</v>
      </c>
      <c r="E59" s="72">
        <f t="shared" si="724"/>
        <v>72405.225572000025</v>
      </c>
      <c r="F59" s="72">
        <f t="shared" si="725"/>
        <v>51206.660969199955</v>
      </c>
      <c r="G59" s="72">
        <f t="shared" si="726"/>
        <v>56327.327066120022</v>
      </c>
      <c r="H59" s="72">
        <f t="shared" si="727"/>
        <v>0</v>
      </c>
      <c r="I59" s="72">
        <f t="shared" si="728"/>
        <v>0</v>
      </c>
      <c r="J59" s="72">
        <f t="shared" si="729"/>
        <v>0</v>
      </c>
      <c r="K59" s="72">
        <f t="shared" si="730"/>
        <v>0</v>
      </c>
      <c r="L59" s="72">
        <f t="shared" si="731"/>
        <v>0</v>
      </c>
      <c r="M59" s="72">
        <f t="shared" si="732"/>
        <v>0</v>
      </c>
      <c r="N59" s="134"/>
      <c r="O59" s="134"/>
    </row>
    <row r="60" spans="2:134" s="62" customFormat="1" ht="12.6" customHeight="1">
      <c r="B60" s="225" t="s">
        <v>51</v>
      </c>
      <c r="C60" s="225">
        <f t="shared" ref="C60:C65" si="734">SUM(C6:N6)</f>
        <v>-74.125222912499993</v>
      </c>
      <c r="D60" s="225">
        <f t="shared" si="723"/>
        <v>-15450.828808286193</v>
      </c>
      <c r="E60" s="226">
        <f t="shared" si="724"/>
        <v>90359.906416685451</v>
      </c>
      <c r="F60" s="226">
        <f t="shared" si="725"/>
        <v>139768.6576654299</v>
      </c>
      <c r="G60" s="226">
        <f t="shared" si="726"/>
        <v>135607.25956923148</v>
      </c>
      <c r="H60" s="226">
        <f t="shared" si="727"/>
        <v>138911.9525190127</v>
      </c>
      <c r="I60" s="226">
        <f t="shared" si="728"/>
        <v>145446.18262358443</v>
      </c>
      <c r="J60" s="226">
        <f t="shared" si="729"/>
        <v>151451.08481035804</v>
      </c>
      <c r="K60" s="226">
        <f t="shared" si="730"/>
        <v>156315.89660024675</v>
      </c>
      <c r="L60" s="226">
        <f t="shared" si="731"/>
        <v>160367.12004130887</v>
      </c>
      <c r="M60" s="226">
        <f t="shared" si="732"/>
        <v>163272.7670397156</v>
      </c>
      <c r="N60" s="134"/>
      <c r="O60" s="134"/>
    </row>
    <row r="61" spans="2:134" s="62" customFormat="1" ht="12.6" customHeight="1">
      <c r="B61" s="136" t="str">
        <f t="shared" ref="B61:B66" si="735">B7</f>
        <v>Выручка итого</v>
      </c>
      <c r="C61" s="72">
        <f t="shared" si="734"/>
        <v>0</v>
      </c>
      <c r="D61" s="72">
        <f t="shared" si="723"/>
        <v>4249.5699000000004</v>
      </c>
      <c r="E61" s="72">
        <f t="shared" si="724"/>
        <v>470852.34492</v>
      </c>
      <c r="F61" s="72">
        <f t="shared" si="725"/>
        <v>636235.60644</v>
      </c>
      <c r="G61" s="72">
        <f t="shared" si="726"/>
        <v>675247.38676200004</v>
      </c>
      <c r="H61" s="72">
        <f t="shared" si="727"/>
        <v>716569.75610010012</v>
      </c>
      <c r="I61" s="72">
        <f t="shared" si="728"/>
        <v>752398.24390510505</v>
      </c>
      <c r="J61" s="72">
        <f t="shared" si="729"/>
        <v>790018.15610036033</v>
      </c>
      <c r="K61" s="72">
        <f t="shared" si="730"/>
        <v>829519.06390537845</v>
      </c>
      <c r="L61" s="72">
        <f t="shared" si="731"/>
        <v>870995.01710064744</v>
      </c>
      <c r="M61" s="72">
        <f t="shared" si="732"/>
        <v>914544.7679556798</v>
      </c>
      <c r="N61" s="134"/>
      <c r="O61" s="134"/>
    </row>
    <row r="62" spans="2:134" s="62" customFormat="1" ht="12.6" customHeight="1">
      <c r="B62" s="136" t="str">
        <f t="shared" si="735"/>
        <v>Расходы итого</v>
      </c>
      <c r="C62" s="72">
        <f t="shared" si="734"/>
        <v>0</v>
      </c>
      <c r="D62" s="72">
        <f t="shared" si="723"/>
        <v>14919.938050000001</v>
      </c>
      <c r="E62" s="72">
        <f t="shared" si="724"/>
        <v>351970.33353999996</v>
      </c>
      <c r="F62" s="72">
        <f t="shared" si="725"/>
        <v>444748.86310800008</v>
      </c>
      <c r="G62" s="72">
        <f t="shared" si="726"/>
        <v>468523.14315323997</v>
      </c>
      <c r="H62" s="72">
        <f t="shared" si="727"/>
        <v>494050.28917503724</v>
      </c>
      <c r="I62" s="72">
        <f t="shared" si="728"/>
        <v>521486.6028414084</v>
      </c>
      <c r="J62" s="72">
        <f t="shared" si="729"/>
        <v>551003.42907446658</v>
      </c>
      <c r="K62" s="72">
        <f t="shared" si="730"/>
        <v>582788.64155291324</v>
      </c>
      <c r="L62" s="72">
        <f t="shared" si="731"/>
        <v>617048.27611500223</v>
      </c>
      <c r="M62" s="72">
        <f t="shared" si="732"/>
        <v>654008.32682657894</v>
      </c>
      <c r="N62" s="134"/>
      <c r="O62" s="134"/>
    </row>
    <row r="63" spans="2:134" s="134" customFormat="1" ht="12.6" customHeight="1">
      <c r="B63" s="140" t="str">
        <f t="shared" si="735"/>
        <v>Переменные издержки</v>
      </c>
      <c r="C63" s="141">
        <f t="shared" si="734"/>
        <v>0</v>
      </c>
      <c r="D63" s="141">
        <f t="shared" si="723"/>
        <v>3114.9400500000002</v>
      </c>
      <c r="E63" s="141">
        <f t="shared" si="724"/>
        <v>229328.35753999997</v>
      </c>
      <c r="F63" s="141">
        <f t="shared" si="725"/>
        <v>308660.48950799997</v>
      </c>
      <c r="G63" s="141">
        <f t="shared" si="726"/>
        <v>318914.52819324</v>
      </c>
      <c r="H63" s="141">
        <f t="shared" si="727"/>
        <v>329575.61043903721</v>
      </c>
      <c r="I63" s="141">
        <f t="shared" si="728"/>
        <v>340665.88979220833</v>
      </c>
      <c r="J63" s="141">
        <f t="shared" si="729"/>
        <v>352209.17862997466</v>
      </c>
      <c r="K63" s="141">
        <f t="shared" si="730"/>
        <v>364231.09734727396</v>
      </c>
      <c r="L63" s="141">
        <f t="shared" si="731"/>
        <v>376759.23796193214</v>
      </c>
      <c r="M63" s="141">
        <f t="shared" si="732"/>
        <v>389823.34356445412</v>
      </c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2:134" s="134" customFormat="1" ht="12.6" customHeight="1">
      <c r="B64" s="140" t="str">
        <f t="shared" si="735"/>
        <v>Постоянные издержки</v>
      </c>
      <c r="C64" s="141">
        <f t="shared" si="734"/>
        <v>0</v>
      </c>
      <c r="D64" s="141">
        <f t="shared" si="723"/>
        <v>11804.998</v>
      </c>
      <c r="E64" s="141">
        <f t="shared" si="724"/>
        <v>122641.97599999997</v>
      </c>
      <c r="F64" s="141">
        <f t="shared" si="725"/>
        <v>136088.37359999996</v>
      </c>
      <c r="G64" s="141">
        <f t="shared" si="726"/>
        <v>149608.61496000001</v>
      </c>
      <c r="H64" s="141">
        <f t="shared" si="727"/>
        <v>164474.67873599997</v>
      </c>
      <c r="I64" s="141">
        <f t="shared" si="728"/>
        <v>180820.71304920001</v>
      </c>
      <c r="J64" s="141">
        <f t="shared" si="729"/>
        <v>198794.25044449198</v>
      </c>
      <c r="K64" s="141">
        <f t="shared" si="730"/>
        <v>218557.54420563937</v>
      </c>
      <c r="L64" s="141">
        <f t="shared" si="731"/>
        <v>240289.03815307005</v>
      </c>
      <c r="M64" s="141">
        <f t="shared" si="732"/>
        <v>264184.98326212476</v>
      </c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</row>
    <row r="65" spans="2:15" s="62" customFormat="1" ht="12.6" customHeight="1">
      <c r="B65" s="136" t="str">
        <f t="shared" si="735"/>
        <v>Начисленные налоги и платежи</v>
      </c>
      <c r="C65" s="72">
        <f t="shared" si="734"/>
        <v>74.125222912499993</v>
      </c>
      <c r="D65" s="72">
        <f t="shared" si="723"/>
        <v>1411.48489165</v>
      </c>
      <c r="E65" s="72">
        <f t="shared" si="724"/>
        <v>22281.45462152777</v>
      </c>
      <c r="F65" s="72">
        <f t="shared" si="725"/>
        <v>44499.346160403693</v>
      </c>
      <c r="G65" s="72">
        <f t="shared" si="726"/>
        <v>63232.676218729073</v>
      </c>
      <c r="H65" s="72">
        <f t="shared" si="727"/>
        <v>76426.526819453196</v>
      </c>
      <c r="I65" s="72">
        <f t="shared" si="728"/>
        <v>80772.222233961991</v>
      </c>
      <c r="J65" s="72">
        <f t="shared" si="729"/>
        <v>85105.453002347422</v>
      </c>
      <c r="K65" s="72">
        <f t="shared" si="730"/>
        <v>89253.327411677688</v>
      </c>
      <c r="L65" s="72">
        <f t="shared" si="731"/>
        <v>93332.459449863658</v>
      </c>
      <c r="M65" s="72">
        <f t="shared" si="732"/>
        <v>97263.674089385313</v>
      </c>
      <c r="N65" s="134"/>
      <c r="O65" s="134"/>
    </row>
    <row r="66" spans="2:15" s="62" customFormat="1" ht="12.6" customHeight="1">
      <c r="B66" s="135" t="str">
        <f t="shared" si="735"/>
        <v>Выплата процентов по кредитам и лизингу ВСЕГО</v>
      </c>
      <c r="C66" s="96">
        <f t="shared" ref="C66" si="736">SUM(C12:N12)</f>
        <v>0</v>
      </c>
      <c r="D66" s="96">
        <f t="shared" si="723"/>
        <v>3368.9757666361916</v>
      </c>
      <c r="E66" s="96">
        <f t="shared" si="724"/>
        <v>6240.6503417867589</v>
      </c>
      <c r="F66" s="96">
        <f t="shared" si="725"/>
        <v>7218.7395061663847</v>
      </c>
      <c r="G66" s="96">
        <f t="shared" si="726"/>
        <v>7884.3078207994349</v>
      </c>
      <c r="H66" s="96">
        <f t="shared" si="727"/>
        <v>7180.987586596937</v>
      </c>
      <c r="I66" s="96">
        <f t="shared" si="728"/>
        <v>4693.23620615031</v>
      </c>
      <c r="J66" s="96">
        <f t="shared" si="729"/>
        <v>2458.1892131882973</v>
      </c>
      <c r="K66" s="96">
        <f t="shared" si="730"/>
        <v>1161.1983405407359</v>
      </c>
      <c r="L66" s="96">
        <f t="shared" si="731"/>
        <v>247.16149447268424</v>
      </c>
      <c r="M66" s="96">
        <f t="shared" si="732"/>
        <v>0</v>
      </c>
      <c r="N66" s="134"/>
      <c r="O66" s="134"/>
    </row>
    <row r="67" spans="2:15" s="62" customFormat="1" ht="12.6" customHeight="1">
      <c r="B67" s="319" t="str">
        <f t="shared" ref="B67" si="737">B13</f>
        <v>Выплаты процентов по кредиту 1</v>
      </c>
      <c r="C67" s="320">
        <f>SUM(C13:N13)</f>
        <v>0</v>
      </c>
      <c r="D67" s="320">
        <f t="shared" ref="D67:D71" si="738">SUM(O13:Z13)</f>
        <v>2945.5991219319217</v>
      </c>
      <c r="E67" s="320">
        <f t="shared" ref="E67:E71" si="739">SUM(AA13:AL13)</f>
        <v>3863.8339910564396</v>
      </c>
      <c r="F67" s="320">
        <f t="shared" ref="F67:F71" si="740">SUM(AM13:AX13)</f>
        <v>3151.6287852854512</v>
      </c>
      <c r="G67" s="320">
        <f t="shared" ref="G67:G71" si="741">SUM(AY13:BJ13)</f>
        <v>2293.7486559941917</v>
      </c>
      <c r="H67" s="320">
        <f t="shared" ref="H67:H71" si="742">SUM(BK13:BV13)</f>
        <v>1392.9745202383695</v>
      </c>
      <c r="I67" s="320">
        <f t="shared" ref="I67:I71" si="743">SUM(BW13:CH13)</f>
        <v>447.16167769475567</v>
      </c>
      <c r="J67" s="320">
        <f t="shared" ref="J67:J71" si="744">SUM(CI13:CT13)</f>
        <v>0</v>
      </c>
      <c r="K67" s="320">
        <f t="shared" ref="K67:K71" si="745">SUM(CU13:DF13)</f>
        <v>0</v>
      </c>
      <c r="L67" s="320">
        <f t="shared" ref="L67:L71" si="746">SUM(DG13:DR13)</f>
        <v>0</v>
      </c>
      <c r="M67" s="320">
        <f t="shared" ref="M67:M71" si="747">SUM(DS13:ED13)</f>
        <v>0</v>
      </c>
      <c r="N67" s="134"/>
      <c r="O67" s="134"/>
    </row>
    <row r="68" spans="2:15" s="62" customFormat="1" ht="12.6" customHeight="1">
      <c r="B68" s="319" t="str">
        <f t="shared" ref="B68:B70" si="748">B14</f>
        <v>Выплаты процентов по кредиту 2</v>
      </c>
      <c r="C68" s="320">
        <f t="shared" ref="C68:C71" si="749">SUM(C14:N14)</f>
        <v>0</v>
      </c>
      <c r="D68" s="320">
        <f t="shared" si="738"/>
        <v>0</v>
      </c>
      <c r="E68" s="320">
        <f t="shared" si="739"/>
        <v>845.73272378661397</v>
      </c>
      <c r="F68" s="320">
        <f t="shared" si="740"/>
        <v>1875.313554658539</v>
      </c>
      <c r="G68" s="320">
        <f t="shared" si="741"/>
        <v>1525.9585685728441</v>
      </c>
      <c r="H68" s="320">
        <f t="shared" si="742"/>
        <v>1159.1358331828642</v>
      </c>
      <c r="I68" s="320">
        <f t="shared" si="743"/>
        <v>773.97196102338523</v>
      </c>
      <c r="J68" s="320">
        <f t="shared" si="744"/>
        <v>204.2656979113093</v>
      </c>
      <c r="K68" s="320">
        <f t="shared" si="745"/>
        <v>0</v>
      </c>
      <c r="L68" s="320">
        <f t="shared" si="746"/>
        <v>0</v>
      </c>
      <c r="M68" s="320">
        <f t="shared" si="747"/>
        <v>0</v>
      </c>
      <c r="N68" s="134"/>
      <c r="O68" s="134"/>
    </row>
    <row r="69" spans="2:15" s="62" customFormat="1" ht="12.6" customHeight="1">
      <c r="B69" s="319" t="str">
        <f t="shared" si="748"/>
        <v>Выплаты процентов по кредиту 3</v>
      </c>
      <c r="C69" s="320">
        <f t="shared" si="749"/>
        <v>0</v>
      </c>
      <c r="D69" s="320">
        <f t="shared" si="738"/>
        <v>0</v>
      </c>
      <c r="E69" s="320">
        <f t="shared" si="739"/>
        <v>0</v>
      </c>
      <c r="F69" s="320">
        <f t="shared" si="740"/>
        <v>930.30599616527411</v>
      </c>
      <c r="G69" s="320">
        <f t="shared" si="741"/>
        <v>2062.8449101243891</v>
      </c>
      <c r="H69" s="320">
        <f t="shared" si="742"/>
        <v>1678.5544254301255</v>
      </c>
      <c r="I69" s="320">
        <f t="shared" si="743"/>
        <v>1275.0494165011482</v>
      </c>
      <c r="J69" s="320">
        <f t="shared" si="744"/>
        <v>851.3691571257225</v>
      </c>
      <c r="K69" s="320">
        <f t="shared" si="745"/>
        <v>224.69226770243989</v>
      </c>
      <c r="L69" s="320">
        <f t="shared" si="746"/>
        <v>0</v>
      </c>
      <c r="M69" s="320">
        <f t="shared" si="747"/>
        <v>0</v>
      </c>
      <c r="N69" s="134"/>
      <c r="O69" s="134"/>
    </row>
    <row r="70" spans="2:15" s="62" customFormat="1" ht="12.6" customHeight="1">
      <c r="B70" s="319" t="str">
        <f t="shared" si="748"/>
        <v>Выплаты процентов по кредиту 4</v>
      </c>
      <c r="C70" s="320">
        <f t="shared" si="749"/>
        <v>0</v>
      </c>
      <c r="D70" s="320">
        <f t="shared" si="738"/>
        <v>0</v>
      </c>
      <c r="E70" s="320">
        <f t="shared" si="739"/>
        <v>0</v>
      </c>
      <c r="F70" s="320">
        <f t="shared" si="740"/>
        <v>0</v>
      </c>
      <c r="G70" s="320">
        <f t="shared" si="741"/>
        <v>1023.3365957818028</v>
      </c>
      <c r="H70" s="320">
        <f t="shared" si="742"/>
        <v>2269.1294011368313</v>
      </c>
      <c r="I70" s="320">
        <f t="shared" si="743"/>
        <v>1846.4098679731405</v>
      </c>
      <c r="J70" s="320">
        <f t="shared" si="744"/>
        <v>1402.5543581512654</v>
      </c>
      <c r="K70" s="320">
        <f t="shared" si="745"/>
        <v>936.50607283829618</v>
      </c>
      <c r="L70" s="320">
        <f t="shared" si="746"/>
        <v>247.16149447268424</v>
      </c>
      <c r="M70" s="320">
        <f t="shared" si="747"/>
        <v>0</v>
      </c>
      <c r="N70" s="134"/>
      <c r="O70" s="134"/>
    </row>
    <row r="71" spans="2:15" s="62" customFormat="1" ht="12.6" customHeight="1">
      <c r="B71" s="319" t="s">
        <v>388</v>
      </c>
      <c r="C71" s="320">
        <f t="shared" si="749"/>
        <v>0</v>
      </c>
      <c r="D71" s="320">
        <f t="shared" si="738"/>
        <v>423.37664470427029</v>
      </c>
      <c r="E71" s="320">
        <f t="shared" si="739"/>
        <v>1531.083626943705</v>
      </c>
      <c r="F71" s="320">
        <f t="shared" si="740"/>
        <v>1261.4911700571206</v>
      </c>
      <c r="G71" s="320">
        <f t="shared" si="741"/>
        <v>978.41909032620617</v>
      </c>
      <c r="H71" s="320">
        <f t="shared" si="742"/>
        <v>681.19340660874627</v>
      </c>
      <c r="I71" s="320">
        <f t="shared" si="743"/>
        <v>350.64328295788039</v>
      </c>
      <c r="J71" s="320">
        <f t="shared" si="744"/>
        <v>0</v>
      </c>
      <c r="K71" s="320">
        <f t="shared" si="745"/>
        <v>0</v>
      </c>
      <c r="L71" s="320">
        <f t="shared" si="746"/>
        <v>0</v>
      </c>
      <c r="M71" s="320">
        <f t="shared" si="747"/>
        <v>0</v>
      </c>
      <c r="N71" s="134"/>
      <c r="O71" s="134"/>
    </row>
    <row r="72" spans="2:15" s="62" customFormat="1" ht="12.6" customHeight="1">
      <c r="B72" s="225" t="s">
        <v>54</v>
      </c>
      <c r="C72" s="225">
        <f>SUM(C18:N18)</f>
        <v>4729.8774829125005</v>
      </c>
      <c r="D72" s="225">
        <f>SUM(O18:Z18)</f>
        <v>188181.94022387304</v>
      </c>
      <c r="E72" s="226">
        <f>SUM(AA18:AL18)</f>
        <v>98634.727572000047</v>
      </c>
      <c r="F72" s="226">
        <f>SUM(AM18:AX18)</f>
        <v>51206.660969199955</v>
      </c>
      <c r="G72" s="226">
        <f>SUM(AY18:BJ18)</f>
        <v>56327.327066120022</v>
      </c>
      <c r="H72" s="226">
        <f>SUM(BK18:BV18)</f>
        <v>0</v>
      </c>
      <c r="I72" s="226">
        <f>SUM(BW18:CH18)</f>
        <v>0</v>
      </c>
      <c r="J72" s="226">
        <f>SUM(CI18:CT18)</f>
        <v>0</v>
      </c>
      <c r="K72" s="226">
        <f>SUM(CU18:DF18)</f>
        <v>0</v>
      </c>
      <c r="L72" s="226">
        <f>SUM(DG18:DR18)</f>
        <v>0</v>
      </c>
      <c r="M72" s="226">
        <f>SUM(DS18:ED18)</f>
        <v>0</v>
      </c>
      <c r="N72" s="134"/>
      <c r="O72" s="134"/>
    </row>
    <row r="73" spans="2:15" s="62" customFormat="1" ht="12.6" customHeight="1">
      <c r="B73" s="136" t="str">
        <f>B19</f>
        <v>Собственные средства</v>
      </c>
      <c r="C73" s="72">
        <f>SUM(C19:N19)</f>
        <v>4729.8774829125005</v>
      </c>
      <c r="D73" s="72">
        <f>SUM(O19:Z19)</f>
        <v>63245.350223873029</v>
      </c>
      <c r="E73" s="72">
        <f>SUM(AA19:AL19)</f>
        <v>37695.212305333327</v>
      </c>
      <c r="F73" s="72">
        <f>SUM(AM19:AX19)</f>
        <v>1004.0521758666659</v>
      </c>
      <c r="G73" s="72">
        <f>SUM(AY19:BJ19)</f>
        <v>1104.4573934533339</v>
      </c>
      <c r="H73" s="72">
        <f>SUM(BK19:BV19)</f>
        <v>0</v>
      </c>
      <c r="I73" s="72">
        <f>SUM(BW19:CH19)</f>
        <v>0</v>
      </c>
      <c r="J73" s="72">
        <f>SUM(CI19:CT19)</f>
        <v>0</v>
      </c>
      <c r="K73" s="72">
        <f>SUM(CU19:DF19)</f>
        <v>0</v>
      </c>
      <c r="L73" s="72">
        <f>SUM(DG19:DR19)</f>
        <v>0</v>
      </c>
      <c r="M73" s="72">
        <f>SUM(DS19:ED19)</f>
        <v>0</v>
      </c>
      <c r="N73" s="420">
        <f>SUM(C73:M73)</f>
        <v>107778.94958143888</v>
      </c>
      <c r="O73" s="134"/>
    </row>
    <row r="74" spans="2:15" s="62" customFormat="1" ht="12.6" customHeight="1">
      <c r="B74" s="136" t="str">
        <f t="shared" ref="B74:B78" si="750">B20</f>
        <v>Кредитные средства 1</v>
      </c>
      <c r="C74" s="72">
        <f t="shared" ref="C74:C78" si="751">SUM(C20:N20)</f>
        <v>0</v>
      </c>
      <c r="D74" s="72">
        <f t="shared" ref="D74:D78" si="752">SUM(O20:Z20)</f>
        <v>89285.59</v>
      </c>
      <c r="E74" s="72">
        <f t="shared" ref="E74:E77" si="753">SUM(AA20:AL20)</f>
        <v>15300.78</v>
      </c>
      <c r="F74" s="72">
        <f t="shared" ref="F74:F78" si="754">SUM(AM20:AX20)</f>
        <v>0</v>
      </c>
      <c r="G74" s="72">
        <f t="shared" ref="G74:G78" si="755">SUM(AY20:BJ20)</f>
        <v>0</v>
      </c>
      <c r="H74" s="72">
        <f t="shared" ref="H74:H78" si="756">SUM(BK20:BV20)</f>
        <v>0</v>
      </c>
      <c r="I74" s="72">
        <f t="shared" ref="I74:I78" si="757">SUM(BW20:CH20)</f>
        <v>0</v>
      </c>
      <c r="J74" s="72">
        <f t="shared" ref="J74:J78" si="758">SUM(CI20:CT20)</f>
        <v>0</v>
      </c>
      <c r="K74" s="72">
        <f t="shared" ref="K74:K78" si="759">SUM(CU20:DF20)</f>
        <v>0</v>
      </c>
      <c r="L74" s="72">
        <f t="shared" ref="L74:L78" si="760">SUM(DG20:DR20)</f>
        <v>0</v>
      </c>
      <c r="M74" s="72">
        <f t="shared" ref="M74:M78" si="761">SUM(DS20:ED20)</f>
        <v>0</v>
      </c>
      <c r="N74" s="420">
        <f>SUM(C74:M74)</f>
        <v>104586.37</v>
      </c>
      <c r="O74" s="134"/>
    </row>
    <row r="75" spans="2:15" s="62" customFormat="1" ht="12.6" customHeight="1">
      <c r="B75" s="136" t="str">
        <f t="shared" si="750"/>
        <v>Кредитные средства 2</v>
      </c>
      <c r="C75" s="72">
        <f t="shared" si="751"/>
        <v>0</v>
      </c>
      <c r="D75" s="72">
        <f t="shared" si="752"/>
        <v>0</v>
      </c>
      <c r="E75" s="72">
        <f t="shared" si="753"/>
        <v>45638.735266666699</v>
      </c>
      <c r="F75" s="72">
        <f t="shared" si="754"/>
        <v>0</v>
      </c>
      <c r="G75" s="72">
        <f t="shared" si="755"/>
        <v>0</v>
      </c>
      <c r="H75" s="72">
        <f t="shared" si="756"/>
        <v>0</v>
      </c>
      <c r="I75" s="72">
        <f t="shared" si="757"/>
        <v>0</v>
      </c>
      <c r="J75" s="72">
        <f t="shared" si="758"/>
        <v>0</v>
      </c>
      <c r="K75" s="72">
        <f t="shared" si="759"/>
        <v>0</v>
      </c>
      <c r="L75" s="72">
        <f t="shared" si="760"/>
        <v>0</v>
      </c>
      <c r="M75" s="72">
        <f t="shared" si="761"/>
        <v>0</v>
      </c>
      <c r="N75" s="420">
        <f t="shared" ref="N75" si="762">SUM(C75:M75)</f>
        <v>45638.735266666699</v>
      </c>
      <c r="O75" s="420">
        <f>SUM(N74:N78)</f>
        <v>291301.58373266668</v>
      </c>
    </row>
    <row r="76" spans="2:15" s="62" customFormat="1" ht="12.6" customHeight="1">
      <c r="B76" s="136" t="str">
        <f t="shared" si="750"/>
        <v>Кредитные средства 3</v>
      </c>
      <c r="C76" s="72">
        <f t="shared" si="751"/>
        <v>0</v>
      </c>
      <c r="D76" s="72">
        <f t="shared" si="752"/>
        <v>0</v>
      </c>
      <c r="E76" s="72">
        <f t="shared" si="753"/>
        <v>0</v>
      </c>
      <c r="F76" s="72">
        <f t="shared" si="754"/>
        <v>50202.608793333289</v>
      </c>
      <c r="G76" s="72">
        <f t="shared" si="755"/>
        <v>0</v>
      </c>
      <c r="H76" s="72">
        <f t="shared" si="756"/>
        <v>0</v>
      </c>
      <c r="I76" s="72">
        <f t="shared" si="757"/>
        <v>0</v>
      </c>
      <c r="J76" s="72">
        <f t="shared" si="758"/>
        <v>0</v>
      </c>
      <c r="K76" s="72">
        <f t="shared" si="759"/>
        <v>0</v>
      </c>
      <c r="L76" s="72">
        <f t="shared" si="760"/>
        <v>0</v>
      </c>
      <c r="M76" s="72">
        <f t="shared" si="761"/>
        <v>0</v>
      </c>
      <c r="N76" s="420">
        <f>SUM(C76:M76)</f>
        <v>50202.608793333289</v>
      </c>
      <c r="O76" s="134"/>
    </row>
    <row r="77" spans="2:15" s="62" customFormat="1" ht="12.6" customHeight="1">
      <c r="B77" s="136" t="str">
        <f t="shared" si="750"/>
        <v>Кредитные средства 4</v>
      </c>
      <c r="C77" s="72">
        <f t="shared" si="751"/>
        <v>0</v>
      </c>
      <c r="D77" s="72">
        <f t="shared" si="752"/>
        <v>0</v>
      </c>
      <c r="E77" s="72">
        <f t="shared" si="753"/>
        <v>0</v>
      </c>
      <c r="F77" s="72">
        <f t="shared" si="754"/>
        <v>0</v>
      </c>
      <c r="G77" s="72">
        <f t="shared" si="755"/>
        <v>55222.869672666697</v>
      </c>
      <c r="H77" s="72">
        <f t="shared" si="756"/>
        <v>0</v>
      </c>
      <c r="I77" s="72">
        <f t="shared" si="757"/>
        <v>0</v>
      </c>
      <c r="J77" s="72">
        <f t="shared" si="758"/>
        <v>0</v>
      </c>
      <c r="K77" s="72">
        <f t="shared" si="759"/>
        <v>0</v>
      </c>
      <c r="L77" s="72">
        <f t="shared" si="760"/>
        <v>0</v>
      </c>
      <c r="M77" s="72">
        <f t="shared" si="761"/>
        <v>0</v>
      </c>
      <c r="N77" s="420">
        <f>SUM(C77:M77)</f>
        <v>55222.869672666697</v>
      </c>
      <c r="O77" s="134"/>
    </row>
    <row r="78" spans="2:15" s="62" customFormat="1" ht="12.6" customHeight="1">
      <c r="B78" s="136" t="str">
        <f t="shared" si="750"/>
        <v>Лизинг</v>
      </c>
      <c r="C78" s="72">
        <f t="shared" si="751"/>
        <v>0</v>
      </c>
      <c r="D78" s="72">
        <f t="shared" si="752"/>
        <v>35651</v>
      </c>
      <c r="E78" s="72">
        <f>SUM(AA24:AL24)</f>
        <v>0</v>
      </c>
      <c r="F78" s="72">
        <f t="shared" si="754"/>
        <v>0</v>
      </c>
      <c r="G78" s="72">
        <f t="shared" si="755"/>
        <v>0</v>
      </c>
      <c r="H78" s="72">
        <f t="shared" si="756"/>
        <v>0</v>
      </c>
      <c r="I78" s="72">
        <f t="shared" si="757"/>
        <v>0</v>
      </c>
      <c r="J78" s="72">
        <f t="shared" si="758"/>
        <v>0</v>
      </c>
      <c r="K78" s="72">
        <f t="shared" si="759"/>
        <v>0</v>
      </c>
      <c r="L78" s="72">
        <f t="shared" si="760"/>
        <v>0</v>
      </c>
      <c r="M78" s="72">
        <f t="shared" si="761"/>
        <v>0</v>
      </c>
      <c r="N78" s="420">
        <f>SUM(C78:M78)</f>
        <v>35651</v>
      </c>
      <c r="O78" s="134"/>
    </row>
    <row r="79" spans="2:15" s="62" customFormat="1" ht="12.6" customHeight="1">
      <c r="B79" s="135" t="str">
        <f>B25</f>
        <v>Выплата тела долга по кредитам и лизингу ВСЕГО</v>
      </c>
      <c r="C79" s="96">
        <f t="shared" ref="C79" si="763">SUM(C25:N25)</f>
        <v>0</v>
      </c>
      <c r="D79" s="96">
        <f t="shared" ref="D79" si="764">SUM(O25:Z25)</f>
        <v>2689.112139695796</v>
      </c>
      <c r="E79" s="96">
        <f>SUM(AA25:AL25)</f>
        <v>29819.324726370272</v>
      </c>
      <c r="F79" s="96">
        <f t="shared" ref="F79" si="765">SUM(AM25:AX25)</f>
        <v>40258.741128615387</v>
      </c>
      <c r="G79" s="96">
        <f t="shared" ref="G79" si="766">SUM(AY25:BJ25)</f>
        <v>52112.590562292222</v>
      </c>
      <c r="H79" s="96">
        <f t="shared" ref="H79" si="767">SUM(BK25:BV25)</f>
        <v>58972.38855352033</v>
      </c>
      <c r="I79" s="96">
        <f t="shared" ref="I79" si="768">SUM(BW25:CH25)</f>
        <v>59540.476034513464</v>
      </c>
      <c r="J79" s="96">
        <f t="shared" ref="J79" si="769">SUM(CI25:CT25)</f>
        <v>26293.134703780368</v>
      </c>
      <c r="K79" s="96">
        <f t="shared" ref="K79" si="770">SUM(CU25:DF25)</f>
        <v>16502.979830712753</v>
      </c>
      <c r="L79" s="96">
        <f t="shared" ref="L79" si="771">SUM(DG25:DR25)</f>
        <v>5112.8360531660792</v>
      </c>
      <c r="M79" s="96">
        <f t="shared" ref="M79" si="772">SUM(DS25:ED25)</f>
        <v>0</v>
      </c>
      <c r="N79" s="134"/>
      <c r="O79" s="134"/>
    </row>
    <row r="80" spans="2:15" s="62" customFormat="1" ht="12.6" customHeight="1">
      <c r="B80" s="319" t="str">
        <f>B26</f>
        <v>Выплата тела долга кредита 1</v>
      </c>
      <c r="C80" s="320">
        <f>SUM(C26:N26)</f>
        <v>0</v>
      </c>
      <c r="D80" s="320">
        <f>SUM(O26:Z26)</f>
        <v>1960.3703559337941</v>
      </c>
      <c r="E80" s="320">
        <f>SUM(AA26:AL26)</f>
        <v>18927.497197718338</v>
      </c>
      <c r="F80" s="320">
        <f>SUM(AM26:AX26)</f>
        <v>19873.872057604265</v>
      </c>
      <c r="G80" s="320">
        <f>SUM(AY26:BJ26)</f>
        <v>20867.565660484488</v>
      </c>
      <c r="H80" s="320">
        <f>SUM(BK26:BV26)</f>
        <v>21910.943943508733</v>
      </c>
      <c r="I80" s="320">
        <f>SUM(BW26:CH26)</f>
        <v>21046.12078475039</v>
      </c>
      <c r="J80" s="320">
        <f>SUM(CI26:CT26)</f>
        <v>0</v>
      </c>
      <c r="K80" s="320">
        <f>SUM(CU26:DF26)</f>
        <v>0</v>
      </c>
      <c r="L80" s="320">
        <f>SUM(DG26:DR26)</f>
        <v>0</v>
      </c>
      <c r="M80" s="320">
        <f>SUM(DS26:ED26)</f>
        <v>0</v>
      </c>
      <c r="N80" s="134"/>
      <c r="O80" s="134"/>
    </row>
    <row r="81" spans="2:27" s="62" customFormat="1" ht="12.6" customHeight="1">
      <c r="B81" s="319" t="str">
        <f t="shared" ref="B81:B83" si="773">B27</f>
        <v>Выплата тела долга кредита 2</v>
      </c>
      <c r="C81" s="320">
        <f t="shared" ref="C81:C84" si="774">SUM(C27:N27)</f>
        <v>0</v>
      </c>
      <c r="D81" s="320">
        <f t="shared" ref="D81:D84" si="775">SUM(O27:Z27)</f>
        <v>0</v>
      </c>
      <c r="E81" s="320">
        <f t="shared" ref="E81:E84" si="776">SUM(AA27:AL27)</f>
        <v>4934.8143456870202</v>
      </c>
      <c r="F81" s="320">
        <f t="shared" ref="F81:F84" si="777">SUM(AM27:AX27)</f>
        <v>8463.4289213236443</v>
      </c>
      <c r="G81" s="320">
        <f t="shared" ref="G81:G84" si="778">SUM(AY27:BJ27)</f>
        <v>8886.6003673898322</v>
      </c>
      <c r="H81" s="320">
        <f t="shared" ref="H81:H84" si="779">SUM(BK27:BV27)</f>
        <v>9330.9303857593313</v>
      </c>
      <c r="I81" s="320">
        <f t="shared" ref="I81:I84" si="780">SUM(BW27:CH27)</f>
        <v>9797.4769050473024</v>
      </c>
      <c r="J81" s="320">
        <f t="shared" ref="J81:J84" si="781">SUM(CI27:CT27)</f>
        <v>4225.4843414595707</v>
      </c>
      <c r="K81" s="320">
        <f t="shared" ref="K81:K84" si="782">SUM(CU27:DF27)</f>
        <v>0</v>
      </c>
      <c r="L81" s="320">
        <f t="shared" ref="L81:L84" si="783">SUM(DG27:DR27)</f>
        <v>0</v>
      </c>
      <c r="M81" s="320">
        <f t="shared" ref="M81:M84" si="784">SUM(DS27:ED27)</f>
        <v>0</v>
      </c>
      <c r="N81" s="134"/>
      <c r="O81" s="134"/>
    </row>
    <row r="82" spans="2:27" s="62" customFormat="1" ht="12.6" customHeight="1">
      <c r="B82" s="319" t="str">
        <f t="shared" si="773"/>
        <v>Выплата тела долга кредита 3</v>
      </c>
      <c r="C82" s="320">
        <f t="shared" si="774"/>
        <v>0</v>
      </c>
      <c r="D82" s="320">
        <f t="shared" si="775"/>
        <v>0</v>
      </c>
      <c r="E82" s="320">
        <f t="shared" si="776"/>
        <v>0</v>
      </c>
      <c r="F82" s="320">
        <f t="shared" si="777"/>
        <v>5428.2957802557139</v>
      </c>
      <c r="G82" s="320">
        <f t="shared" si="778"/>
        <v>9309.7718134559927</v>
      </c>
      <c r="H82" s="320">
        <f t="shared" si="779"/>
        <v>9775.2604041287977</v>
      </c>
      <c r="I82" s="320">
        <f t="shared" si="780"/>
        <v>10264.023424335246</v>
      </c>
      <c r="J82" s="320">
        <f t="shared" si="781"/>
        <v>10777.224595552017</v>
      </c>
      <c r="K82" s="320">
        <f t="shared" si="782"/>
        <v>4648.0327756055203</v>
      </c>
      <c r="L82" s="320">
        <f t="shared" si="783"/>
        <v>0</v>
      </c>
      <c r="M82" s="320">
        <f t="shared" si="784"/>
        <v>0</v>
      </c>
      <c r="N82" s="134"/>
      <c r="O82" s="134"/>
    </row>
    <row r="83" spans="2:27" s="62" customFormat="1" ht="12.6" customHeight="1">
      <c r="B83" s="319" t="str">
        <f t="shared" si="773"/>
        <v>Выплата тела долга кредита 4</v>
      </c>
      <c r="C83" s="320">
        <f t="shared" si="774"/>
        <v>0</v>
      </c>
      <c r="D83" s="320">
        <f t="shared" si="775"/>
        <v>0</v>
      </c>
      <c r="E83" s="320">
        <f t="shared" si="776"/>
        <v>0</v>
      </c>
      <c r="F83" s="320">
        <f t="shared" si="777"/>
        <v>0</v>
      </c>
      <c r="G83" s="320">
        <f t="shared" si="778"/>
        <v>5971.1253582812942</v>
      </c>
      <c r="H83" s="320">
        <f t="shared" si="779"/>
        <v>10240.748994801608</v>
      </c>
      <c r="I83" s="320">
        <f t="shared" si="780"/>
        <v>10752.786444541696</v>
      </c>
      <c r="J83" s="320">
        <f t="shared" si="781"/>
        <v>11290.425766768787</v>
      </c>
      <c r="K83" s="320">
        <f t="shared" si="782"/>
        <v>11854.947055107235</v>
      </c>
      <c r="L83" s="320">
        <f t="shared" si="783"/>
        <v>5112.8360531660792</v>
      </c>
      <c r="M83" s="320">
        <f t="shared" si="784"/>
        <v>0</v>
      </c>
      <c r="N83" s="134"/>
      <c r="O83" s="134"/>
    </row>
    <row r="84" spans="2:27" s="62" customFormat="1" ht="12.6" customHeight="1">
      <c r="B84" s="319" t="s">
        <v>389</v>
      </c>
      <c r="C84" s="320">
        <f t="shared" si="774"/>
        <v>0</v>
      </c>
      <c r="D84" s="320">
        <f t="shared" si="775"/>
        <v>728.74178376200189</v>
      </c>
      <c r="E84" s="320">
        <f t="shared" si="776"/>
        <v>5957.0131829649135</v>
      </c>
      <c r="F84" s="320">
        <f t="shared" si="777"/>
        <v>6493.1443694317577</v>
      </c>
      <c r="G84" s="320">
        <f t="shared" si="778"/>
        <v>7077.5273626806165</v>
      </c>
      <c r="H84" s="320">
        <f t="shared" si="779"/>
        <v>7714.5048253218747</v>
      </c>
      <c r="I84" s="320">
        <f t="shared" si="780"/>
        <v>7680.0684758388452</v>
      </c>
      <c r="J84" s="320">
        <f t="shared" si="781"/>
        <v>0</v>
      </c>
      <c r="K84" s="320">
        <f t="shared" si="782"/>
        <v>0</v>
      </c>
      <c r="L84" s="320">
        <f t="shared" si="783"/>
        <v>0</v>
      </c>
      <c r="M84" s="320">
        <f t="shared" si="784"/>
        <v>0</v>
      </c>
      <c r="N84" s="134"/>
      <c r="O84" s="134"/>
    </row>
    <row r="85" spans="2:27" s="62" customFormat="1" ht="12.6" customHeight="1">
      <c r="B85" s="225" t="s">
        <v>55</v>
      </c>
      <c r="C85" s="225">
        <f t="shared" ref="C85:C86" si="785">SUM(C31:N31)</f>
        <v>-4729.8774829125005</v>
      </c>
      <c r="D85" s="225">
        <f t="shared" ref="D85:D86" si="786">SUM(O31:Z31)</f>
        <v>-185016.10922828619</v>
      </c>
      <c r="E85" s="226">
        <f t="shared" ref="E85" si="787">SUM(AA31:AL31)</f>
        <v>17954.680844685434</v>
      </c>
      <c r="F85" s="226">
        <f t="shared" ref="F85" si="788">SUM(AM31:AX31)</f>
        <v>88561.996696229937</v>
      </c>
      <c r="G85" s="226">
        <f t="shared" ref="G85" si="789">SUM(AY31:BJ31)</f>
        <v>79279.932503111471</v>
      </c>
      <c r="H85" s="226">
        <f t="shared" ref="H85" si="790">SUM(BK31:BV31)</f>
        <v>138911.9525190127</v>
      </c>
      <c r="I85" s="226">
        <f t="shared" ref="I85" si="791">SUM(BW31:CH31)</f>
        <v>145446.18262358443</v>
      </c>
      <c r="J85" s="226">
        <f t="shared" ref="J85" si="792">SUM(CI31:CT31)</f>
        <v>151451.08481035804</v>
      </c>
      <c r="K85" s="226">
        <f t="shared" ref="K85" si="793">SUM(CU31:DF31)</f>
        <v>156315.89660024675</v>
      </c>
      <c r="L85" s="226">
        <f t="shared" ref="L85" si="794">SUM(DG31:DR31)</f>
        <v>160367.12004130887</v>
      </c>
      <c r="M85" s="226">
        <f>SUM(DS31:ED31)</f>
        <v>163272.7670397156</v>
      </c>
      <c r="N85" s="134"/>
      <c r="O85" s="134"/>
    </row>
    <row r="86" spans="2:27" s="62" customFormat="1" ht="12.6" customHeight="1">
      <c r="B86" s="135" t="s">
        <v>2</v>
      </c>
      <c r="C86" s="96">
        <f t="shared" si="785"/>
        <v>-11915.702002912501</v>
      </c>
      <c r="D86" s="96">
        <f t="shared" si="786"/>
        <v>-1305263.2755428911</v>
      </c>
      <c r="E86" s="96">
        <f>AL32</f>
        <v>-171770.90586651323</v>
      </c>
      <c r="F86" s="96">
        <f>AX32</f>
        <v>-83208.909170283267</v>
      </c>
      <c r="G86" s="96">
        <f>BJ32</f>
        <v>-3928.9766671717771</v>
      </c>
      <c r="H86" s="96">
        <f>BV32</f>
        <v>134982.97585184095</v>
      </c>
      <c r="I86" s="96">
        <f>CH32</f>
        <v>280429.15847542533</v>
      </c>
      <c r="J86" s="96">
        <f>CT32</f>
        <v>431880.24328578333</v>
      </c>
      <c r="K86" s="96">
        <f>DF32</f>
        <v>588196.13988603011</v>
      </c>
      <c r="L86" s="96">
        <f>DR32</f>
        <v>748563.25992733892</v>
      </c>
      <c r="M86" s="96">
        <f>ED32</f>
        <v>911836.02696705458</v>
      </c>
      <c r="N86" s="134"/>
      <c r="O86" s="134"/>
    </row>
    <row r="87" spans="2:27" ht="12.75">
      <c r="N87" s="134"/>
      <c r="O87" s="134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</row>
  </sheetData>
  <mergeCells count="11">
    <mergeCell ref="DS2:ED2"/>
    <mergeCell ref="C2:N2"/>
    <mergeCell ref="O2:Z2"/>
    <mergeCell ref="AA2:AL2"/>
    <mergeCell ref="AM2:AX2"/>
    <mergeCell ref="AY2:BJ2"/>
    <mergeCell ref="BK2:BV2"/>
    <mergeCell ref="BW2:CH2"/>
    <mergeCell ref="CU2:DF2"/>
    <mergeCell ref="DG2:DR2"/>
    <mergeCell ref="CI2:CT2"/>
  </mergeCells>
  <phoneticPr fontId="3" type="noConversion"/>
  <conditionalFormatting sqref="C33:ED33">
    <cfRule type="cellIs" dxfId="0" priority="3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tabColor theme="4" tint="0.39997558519241921"/>
  </sheetPr>
  <dimension ref="A1:L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K12" sqref="K12"/>
    </sheetView>
  </sheetViews>
  <sheetFormatPr defaultColWidth="9.140625" defaultRowHeight="12.75"/>
  <cols>
    <col min="1" max="1" width="40.7109375" style="11" customWidth="1"/>
    <col min="2" max="3" width="12.5703125" style="11" customWidth="1"/>
    <col min="4" max="12" width="13.28515625" style="11" customWidth="1"/>
    <col min="13" max="16384" width="9.140625" style="11"/>
  </cols>
  <sheetData>
    <row r="1" spans="1:12" s="62" customFormat="1" ht="18.600000000000001" customHeight="1">
      <c r="A1" s="56" t="s">
        <v>26</v>
      </c>
      <c r="B1" s="56"/>
      <c r="C1" s="56"/>
      <c r="D1" s="97"/>
    </row>
    <row r="2" spans="1:12" s="62" customFormat="1" ht="12.6" customHeight="1">
      <c r="A2" s="142" t="s">
        <v>60</v>
      </c>
      <c r="B2" s="143">
        <v>2022</v>
      </c>
      <c r="C2" s="143">
        <v>2023</v>
      </c>
      <c r="D2" s="143">
        <v>2024</v>
      </c>
      <c r="E2" s="143">
        <v>2025</v>
      </c>
      <c r="F2" s="143">
        <v>2026</v>
      </c>
      <c r="G2" s="143">
        <v>2027</v>
      </c>
      <c r="H2" s="143">
        <v>2028</v>
      </c>
      <c r="I2" s="143">
        <v>2029</v>
      </c>
      <c r="J2" s="143">
        <v>2030</v>
      </c>
      <c r="K2" s="143">
        <v>2031</v>
      </c>
      <c r="L2" s="143">
        <v>2032</v>
      </c>
    </row>
    <row r="3" spans="1:12" s="62" customFormat="1" ht="12.6" customHeight="1">
      <c r="A3" s="144" t="s">
        <v>225</v>
      </c>
      <c r="B3" s="368">
        <f>ДДС!C61-ДДС!C61*Исх.данные!$B$21</f>
        <v>0</v>
      </c>
      <c r="C3" s="368">
        <f>ДДС!D61-ДДС!D61*Исх.данные!$B$21</f>
        <v>3541.30825</v>
      </c>
      <c r="D3" s="368">
        <f>ДДС!E61-ДДС!E61*Исх.данные!$B$21</f>
        <v>392376.95409999997</v>
      </c>
      <c r="E3" s="148">
        <f>ДДС!F61-ДДС!F61*Исх.данные!$B$21</f>
        <v>530196.33869999996</v>
      </c>
      <c r="F3" s="148">
        <f>ДДС!G61-ДДС!G61*Исх.данные!$B$21</f>
        <v>562706.15563499997</v>
      </c>
      <c r="G3" s="148">
        <f>ДДС!H61-ДДС!H61*Исх.данные!$B$21</f>
        <v>597141.46341675008</v>
      </c>
      <c r="H3" s="148">
        <f>ДДС!I61-ДДС!I61*Исх.данные!$B$21</f>
        <v>626998.53658758756</v>
      </c>
      <c r="I3" s="148">
        <f>ДДС!J61-ДДС!J61*Исх.данные!$B$21</f>
        <v>658348.46341696696</v>
      </c>
      <c r="J3" s="148">
        <f>ДДС!K61-ДДС!K61*Исх.данные!$B$21</f>
        <v>691265.88658781536</v>
      </c>
      <c r="K3" s="148">
        <f>ДДС!L61-ДДС!L61*Исх.данные!$B$21</f>
        <v>725829.18091720622</v>
      </c>
      <c r="L3" s="148">
        <f>ДДС!M61-ДДС!M61*Исх.данные!$B$21</f>
        <v>762120.63996306644</v>
      </c>
    </row>
    <row r="4" spans="1:12" s="62" customFormat="1" ht="12.6" customHeight="1">
      <c r="A4" s="145" t="s">
        <v>226</v>
      </c>
      <c r="B4" s="368">
        <f>ДДС!C63-('Переменные издержки проекта'!C20-'Переменные издержки проекта'!C19)*Исх.данные!$B$21</f>
        <v>0</v>
      </c>
      <c r="C4" s="368">
        <f>ДДС!D63-('Переменные издержки проекта'!D20-'Переменные издержки проекта'!D19)*Исх.данные!$B$21</f>
        <v>2780.783375</v>
      </c>
      <c r="D4" s="368">
        <f>ДДС!E63-('Переменные издержки проекта'!E20-'Переменные издержки проекта'!E19)*Исх.данные!$B$21</f>
        <v>192303.79794999998</v>
      </c>
      <c r="E4" s="368">
        <f>ДДС!F63-('Переменные издержки проекта'!F20-'Переменные издержки проекта'!F19)*Исх.данные!$B$21</f>
        <v>259584.27458999999</v>
      </c>
      <c r="F4" s="368">
        <f>ДДС!G63-('Переменные издержки проекта'!G20-'Переменные издержки проекта'!G19)*Исх.данные!$B$21</f>
        <v>268366.02682769997</v>
      </c>
      <c r="G4" s="368">
        <f>ДДС!H63-('Переменные издержки проекта'!H20-'Переменные издержки проекта'!H19)*Исх.данные!$B$21</f>
        <v>277510.65403253102</v>
      </c>
      <c r="H4" s="368">
        <f>ДДС!I63-('Переменные издержки проекта'!I20-'Переменные издержки проекта'!I19)*Исх.данные!$B$21</f>
        <v>287038.98469350691</v>
      </c>
      <c r="I4" s="368">
        <f>ДДС!J63-('Переменные издержки проекта'!J20-'Переменные издержки проекта'!J19)*Исх.данные!$B$21</f>
        <v>296973.46637831221</v>
      </c>
      <c r="J4" s="368">
        <f>ДДС!K63-('Переменные издержки проекта'!K20-'Переменные издержки проекта'!K19)*Исх.данные!$B$21</f>
        <v>307338.31372806162</v>
      </c>
      <c r="K4" s="368">
        <f>ДДС!L63-('Переменные издержки проекта'!L20-'Переменные издержки проекта'!L19)*Исх.данные!$B$21</f>
        <v>318159.67083414341</v>
      </c>
      <c r="L4" s="368">
        <f>ДДС!M63-('Переменные издержки проекта'!M20-'Переменные издержки проекта'!M19)*Исх.данные!$B$21</f>
        <v>329465.78942283173</v>
      </c>
    </row>
    <row r="5" spans="1:12" s="62" customFormat="1" ht="12.6" customHeight="1">
      <c r="A5" s="145" t="s">
        <v>227</v>
      </c>
      <c r="B5" s="368">
        <f>B3-B4</f>
        <v>0</v>
      </c>
      <c r="C5" s="368">
        <f>C3-C4</f>
        <v>760.52487500000007</v>
      </c>
      <c r="D5" s="369">
        <f>D3-D4</f>
        <v>200073.15615</v>
      </c>
      <c r="E5" s="150">
        <f t="shared" ref="E5:I5" si="0">E3-E4</f>
        <v>270612.06410999998</v>
      </c>
      <c r="F5" s="150">
        <f t="shared" si="0"/>
        <v>294340.1288073</v>
      </c>
      <c r="G5" s="150">
        <f t="shared" si="0"/>
        <v>319630.80938421906</v>
      </c>
      <c r="H5" s="150">
        <f t="shared" si="0"/>
        <v>339959.55189408065</v>
      </c>
      <c r="I5" s="150">
        <f t="shared" si="0"/>
        <v>361374.99703865475</v>
      </c>
      <c r="J5" s="150">
        <f t="shared" ref="J5:L5" si="1">J3-J4</f>
        <v>383927.57285975374</v>
      </c>
      <c r="K5" s="150">
        <f t="shared" si="1"/>
        <v>407669.51008306281</v>
      </c>
      <c r="L5" s="150">
        <f t="shared" si="1"/>
        <v>432654.85054023471</v>
      </c>
    </row>
    <row r="6" spans="1:12" s="62" customFormat="1" ht="12.6" customHeight="1">
      <c r="A6" s="145" t="s">
        <v>228</v>
      </c>
      <c r="B6" s="368">
        <f>ДДС!C64-('Постоянные издержки проекта'!C34-'Постоянные издержки проекта'!C33)*Исх.данные!$B$21</f>
        <v>0</v>
      </c>
      <c r="C6" s="368">
        <f>ДДС!D64-('Постоянные издержки проекта'!D34-'Постоянные издержки проекта'!D33)*Исх.данные!$B$21</f>
        <v>12235.331333333334</v>
      </c>
      <c r="D6" s="368">
        <f>ДДС!E64-('Постоянные издержки проекта'!E34-'Постоянные издержки проекта'!E33)*Исх.данные!$B$21</f>
        <v>104783.64666666664</v>
      </c>
      <c r="E6" s="368">
        <f>ДДС!F64-('Постоянные издержки проекта'!F34-'Постоянные издержки проекта'!F33)*Исх.данные!$B$21</f>
        <v>116247.17799999996</v>
      </c>
      <c r="F6" s="368">
        <f>ДДС!G64-('Постоянные издержки проекта'!G34-'Постоянные издержки проекта'!G33)*Исх.данные!$B$21</f>
        <v>127798.06580000001</v>
      </c>
      <c r="G6" s="368">
        <f>ДДС!H64-('Постоянные издержки проекта'!H34-'Постоянные издержки проекта'!H33)*Исх.данные!$B$21</f>
        <v>140498.87427999996</v>
      </c>
      <c r="H6" s="368">
        <f>ДДС!I64-('Постоянные издержки проекта'!I34-'Постоянные издержки проекта'!I33)*Исх.данные!$B$21</f>
        <v>154464.233741</v>
      </c>
      <c r="I6" s="368">
        <f>ДДС!J64-('Постоянные издержки проекта'!J34-'Постоянные издержки проекта'!J33)*Исх.данные!$B$21</f>
        <v>169820.21219040995</v>
      </c>
      <c r="J6" s="368">
        <f>ДДС!K64-('Постоянные издержки проекта'!K34-'Постоянные издержки проекта'!K33)*Исх.данные!$B$21</f>
        <v>186705.45734003282</v>
      </c>
      <c r="K6" s="368">
        <f>ДДС!L64-('Постоянные издержки проекта'!L34-'Постоянные издержки проекта'!L33)*Исх.данные!$B$21</f>
        <v>205272.45267975837</v>
      </c>
      <c r="L6" s="368">
        <f>ДДС!M64-('Постоянные издержки проекта'!M34-'Постоянные издержки проекта'!M33)*Исх.данные!$B$21</f>
        <v>225688.8990258573</v>
      </c>
    </row>
    <row r="7" spans="1:12" s="62" customFormat="1" ht="12.6" customHeight="1">
      <c r="A7" s="145" t="s">
        <v>72</v>
      </c>
      <c r="B7" s="368">
        <f>Налоги!B18+Налоги!B19+Налоги!B21</f>
        <v>74.125222912499993</v>
      </c>
      <c r="C7" s="368">
        <f>Налоги!C18+Налоги!C19+Налоги!C21</f>
        <v>1411.48489165</v>
      </c>
      <c r="D7" s="368">
        <f>Налоги!D18+Налоги!D19+Налоги!D21</f>
        <v>7143.7468916500011</v>
      </c>
      <c r="E7" s="368">
        <f>Налоги!E18+Налоги!E19+Налоги!E21</f>
        <v>20701.057312983328</v>
      </c>
      <c r="F7" s="368">
        <f>Налоги!F18+Налоги!F19+Налоги!F21</f>
        <v>41610.939176195556</v>
      </c>
      <c r="G7" s="368">
        <f>Налоги!G18+Налоги!G19+Налоги!G21</f>
        <v>55089.222207630482</v>
      </c>
      <c r="H7" s="368">
        <f>Налоги!H18+Налоги!H19+Налоги!H21</f>
        <v>58308.557868439435</v>
      </c>
      <c r="I7" s="368">
        <f>Налоги!I18+Налоги!I19+Налоги!I21</f>
        <v>61651.46790688968</v>
      </c>
      <c r="J7" s="368">
        <f>Налоги!J18+Налоги!J19+Налоги!J21</f>
        <v>65095.230532521586</v>
      </c>
      <c r="K7" s="368">
        <f>Налоги!K18+Налоги!K19+Налоги!K21</f>
        <v>68671.900897841173</v>
      </c>
      <c r="L7" s="368">
        <f>Налоги!L18+Налоги!L19+Налоги!L21</f>
        <v>72381.905295856835</v>
      </c>
    </row>
    <row r="8" spans="1:12" s="62" customFormat="1" ht="12.6" customHeight="1">
      <c r="A8" s="251" t="s">
        <v>87</v>
      </c>
      <c r="B8" s="252">
        <f t="shared" ref="B8:I8" si="2">B5-B6-B7</f>
        <v>-74.125222912499993</v>
      </c>
      <c r="C8" s="252">
        <f t="shared" si="2"/>
        <v>-12886.291349983332</v>
      </c>
      <c r="D8" s="252">
        <f t="shared" si="2"/>
        <v>88145.762591683349</v>
      </c>
      <c r="E8" s="252">
        <f t="shared" si="2"/>
        <v>133663.8287970167</v>
      </c>
      <c r="F8" s="252">
        <f t="shared" si="2"/>
        <v>124931.12383110443</v>
      </c>
      <c r="G8" s="252">
        <f t="shared" si="2"/>
        <v>124042.71289658861</v>
      </c>
      <c r="H8" s="252">
        <f t="shared" si="2"/>
        <v>127186.7602846412</v>
      </c>
      <c r="I8" s="252">
        <f t="shared" si="2"/>
        <v>129903.31694135512</v>
      </c>
      <c r="J8" s="252">
        <f t="shared" ref="J8:L8" si="3">J5-J6-J7</f>
        <v>132126.88498719933</v>
      </c>
      <c r="K8" s="252">
        <f t="shared" si="3"/>
        <v>133725.15650546327</v>
      </c>
      <c r="L8" s="252">
        <f t="shared" si="3"/>
        <v>134584.04621852055</v>
      </c>
    </row>
    <row r="9" spans="1:12" s="62" customFormat="1" ht="12.6" customHeight="1">
      <c r="A9" s="145" t="s">
        <v>62</v>
      </c>
      <c r="B9" s="151">
        <f t="shared" ref="B9:I9" si="4">IF(B3=0, 0, B8/B3)</f>
        <v>0</v>
      </c>
      <c r="C9" s="151">
        <f t="shared" si="4"/>
        <v>-3.6388505151968435</v>
      </c>
      <c r="D9" s="151">
        <f t="shared" si="4"/>
        <v>0.2246456160858489</v>
      </c>
      <c r="E9" s="151">
        <f t="shared" si="4"/>
        <v>0.25210251191992383</v>
      </c>
      <c r="F9" s="151">
        <f t="shared" si="4"/>
        <v>0.22201840619661029</v>
      </c>
      <c r="G9" s="151">
        <f t="shared" si="4"/>
        <v>0.2077275160007071</v>
      </c>
      <c r="H9" s="151">
        <f t="shared" si="4"/>
        <v>0.2028501708741613</v>
      </c>
      <c r="I9" s="151">
        <f t="shared" si="4"/>
        <v>0.19731695926976056</v>
      </c>
      <c r="J9" s="151">
        <f t="shared" ref="J9:L9" si="5">IF(J3=0, 0, J8/J3)</f>
        <v>0.19113757463050293</v>
      </c>
      <c r="K9" s="151">
        <f t="shared" si="5"/>
        <v>0.18423777938561139</v>
      </c>
      <c r="L9" s="151">
        <f t="shared" si="5"/>
        <v>0.17659152522761057</v>
      </c>
    </row>
    <row r="10" spans="1:12" s="62" customFormat="1" ht="12.6" customHeight="1">
      <c r="A10" s="146" t="s">
        <v>86</v>
      </c>
      <c r="B10" s="368">
        <v>0</v>
      </c>
      <c r="C10" s="368">
        <f>SUM(Инвестиции!F125:Q125)</f>
        <v>909.18564068100363</v>
      </c>
      <c r="D10" s="150">
        <f>SUM(Инвестиции!R125:AC125)</f>
        <v>6216.573600507767</v>
      </c>
      <c r="E10" s="150">
        <f>SUM(Инвестиции!AD125:AO125)</f>
        <v>7453.6450537485061</v>
      </c>
      <c r="F10" s="150">
        <f>SUM(Инвестиции!AP125:BA125)</f>
        <v>8938.1307976373937</v>
      </c>
      <c r="G10" s="150">
        <f>SUM(Инвестиции!BB125:BM125)</f>
        <v>10175.202250878137</v>
      </c>
      <c r="H10" s="150">
        <f>SUM(Инвестиции!BN125:BY125)</f>
        <v>10175.202250878137</v>
      </c>
      <c r="I10" s="150">
        <f>SUM(Инвестиции!BZ125:CK125)</f>
        <v>10175.202250878137</v>
      </c>
      <c r="J10" s="150">
        <f>SUM(Инвестиции!CL125:CW125)</f>
        <v>10175.202250878137</v>
      </c>
      <c r="K10" s="150">
        <f>SUM(Инвестиции!CX125:DI125)</f>
        <v>10175.202250878137</v>
      </c>
      <c r="L10" s="150">
        <f>SUM(Инвестиции!DJ125:DU125)</f>
        <v>10175.202250878137</v>
      </c>
    </row>
    <row r="11" spans="1:12" s="62" customFormat="1" ht="12.6" customHeight="1">
      <c r="A11" s="251" t="s">
        <v>61</v>
      </c>
      <c r="B11" s="252">
        <f>B8-B10</f>
        <v>-74.125222912499993</v>
      </c>
      <c r="C11" s="252">
        <f>C8-C10</f>
        <v>-13795.476990664336</v>
      </c>
      <c r="D11" s="252">
        <f>D8-D10</f>
        <v>81929.188991175586</v>
      </c>
      <c r="E11" s="252">
        <f t="shared" ref="E11:I11" si="6">E8-E10</f>
        <v>126210.18374326819</v>
      </c>
      <c r="F11" s="252">
        <f t="shared" si="6"/>
        <v>115992.99303346704</v>
      </c>
      <c r="G11" s="252">
        <f t="shared" si="6"/>
        <v>113867.51064571047</v>
      </c>
      <c r="H11" s="252">
        <f t="shared" si="6"/>
        <v>117011.55803376307</v>
      </c>
      <c r="I11" s="252">
        <f t="shared" si="6"/>
        <v>119728.11469047698</v>
      </c>
      <c r="J11" s="252">
        <f t="shared" ref="J11:L11" si="7">J8-J10</f>
        <v>121951.68273632119</v>
      </c>
      <c r="K11" s="252">
        <f t="shared" si="7"/>
        <v>123549.95425458513</v>
      </c>
      <c r="L11" s="252">
        <f t="shared" si="7"/>
        <v>124408.84396764242</v>
      </c>
    </row>
    <row r="12" spans="1:12" s="62" customFormat="1" ht="12.6" customHeight="1">
      <c r="A12" s="145" t="s">
        <v>229</v>
      </c>
      <c r="B12" s="368">
        <f>SUM(ДДС!C67:C71)</f>
        <v>0</v>
      </c>
      <c r="C12" s="368">
        <f>SUM(ДДС!D67:D71)</f>
        <v>3368.975766636192</v>
      </c>
      <c r="D12" s="368">
        <f>SUM(ДДС!E67:E71)</f>
        <v>6240.6503417867589</v>
      </c>
      <c r="E12" s="368">
        <f>SUM(ДДС!F67:F71)</f>
        <v>7218.7395061663847</v>
      </c>
      <c r="F12" s="368">
        <f>SUM(ДДС!G67:G71)</f>
        <v>7884.3078207994331</v>
      </c>
      <c r="G12" s="368">
        <f>SUM(ДДС!H67:H71)</f>
        <v>7180.9875865969361</v>
      </c>
      <c r="H12" s="368">
        <f>SUM(ДДС!I67:I71)</f>
        <v>4693.23620615031</v>
      </c>
      <c r="I12" s="368">
        <f>SUM(ДДС!J67:J71)</f>
        <v>2458.1892131882969</v>
      </c>
      <c r="J12" s="368">
        <f>SUM(ДДС!K67:K71)</f>
        <v>1161.1983405407361</v>
      </c>
      <c r="K12" s="368">
        <f>SUM(ДДС!L67:L71)</f>
        <v>247.16149447268424</v>
      </c>
      <c r="L12" s="368">
        <f>SUM(ДДС!M67:M71)</f>
        <v>0</v>
      </c>
    </row>
    <row r="13" spans="1:12" s="62" customFormat="1" ht="12.6" customHeight="1">
      <c r="A13" s="145" t="s">
        <v>63</v>
      </c>
      <c r="B13" s="368">
        <f>B11-B12</f>
        <v>-74.125222912499993</v>
      </c>
      <c r="C13" s="368">
        <f>C11-C12</f>
        <v>-17164.452757300529</v>
      </c>
      <c r="D13" s="150">
        <f t="shared" ref="D13:L13" si="8">D11-D12</f>
        <v>75688.538649388822</v>
      </c>
      <c r="E13" s="150">
        <f t="shared" si="8"/>
        <v>118991.44423710181</v>
      </c>
      <c r="F13" s="150">
        <f t="shared" si="8"/>
        <v>108108.68521266759</v>
      </c>
      <c r="G13" s="150">
        <f t="shared" si="8"/>
        <v>106686.52305911353</v>
      </c>
      <c r="H13" s="150">
        <f t="shared" si="8"/>
        <v>112318.32182761276</v>
      </c>
      <c r="I13" s="150">
        <f t="shared" si="8"/>
        <v>117269.92547728869</v>
      </c>
      <c r="J13" s="150">
        <f t="shared" si="8"/>
        <v>120790.48439578046</v>
      </c>
      <c r="K13" s="150">
        <f t="shared" si="8"/>
        <v>123302.79276011244</v>
      </c>
      <c r="L13" s="150">
        <f t="shared" si="8"/>
        <v>124408.84396764242</v>
      </c>
    </row>
    <row r="14" spans="1:12" s="62" customFormat="1" ht="12.6" customHeight="1">
      <c r="A14" s="144" t="s">
        <v>32</v>
      </c>
      <c r="B14" s="368">
        <f>IF(B13&lt;0, 0, B13*Исх.данные!$B$18)</f>
        <v>0</v>
      </c>
      <c r="C14" s="368">
        <f>IF(C13&lt;0, 0, C13*Исх.данные!$B$18)</f>
        <v>0</v>
      </c>
      <c r="D14" s="150">
        <f>IF(D13&lt;0, 0, D13*Исх.данные!$B$18)</f>
        <v>15137.707729877766</v>
      </c>
      <c r="E14" s="150">
        <f>IF(E13&lt;0, 0, E13*Исх.данные!$B$18)</f>
        <v>23798.288847420365</v>
      </c>
      <c r="F14" s="150">
        <f>IF(F13&lt;0, 0, F13*Исх.данные!$B$18)</f>
        <v>21621.737042533521</v>
      </c>
      <c r="G14" s="150">
        <f>IF(G13&lt;0, 0, G13*Исх.данные!$B$18)</f>
        <v>21337.304611822707</v>
      </c>
      <c r="H14" s="150">
        <f>IF(H13&lt;0, 0, H13*Исх.данные!$B$18)</f>
        <v>22463.664365522553</v>
      </c>
      <c r="I14" s="150">
        <f>IF(I13&lt;0, 0, I13*Исх.данные!$B$18)</f>
        <v>23453.985095457741</v>
      </c>
      <c r="J14" s="150">
        <f>IF(J13&lt;0, 0, J13*Исх.данные!$B$18)</f>
        <v>24158.096879156092</v>
      </c>
      <c r="K14" s="150">
        <f>IF(K13&lt;0, 0, K13*Исх.данные!$B$18)</f>
        <v>24660.558552022489</v>
      </c>
      <c r="L14" s="150">
        <f>IF(L13&lt;0, 0, L13*Исх.данные!$B$18)</f>
        <v>24881.768793528485</v>
      </c>
    </row>
    <row r="15" spans="1:12" s="62" customFormat="1" ht="12.6" customHeight="1">
      <c r="A15" s="251" t="s">
        <v>173</v>
      </c>
      <c r="B15" s="252">
        <f t="shared" ref="B15:C15" si="9">B13-B14</f>
        <v>-74.125222912499993</v>
      </c>
      <c r="C15" s="252">
        <f t="shared" si="9"/>
        <v>-17164.452757300529</v>
      </c>
      <c r="D15" s="252">
        <f>D13-D14</f>
        <v>60550.830919511056</v>
      </c>
      <c r="E15" s="252">
        <f t="shared" ref="E15:I15" si="10">E13-E14</f>
        <v>95193.155389681444</v>
      </c>
      <c r="F15" s="252">
        <f t="shared" si="10"/>
        <v>86486.94817013407</v>
      </c>
      <c r="G15" s="252">
        <f t="shared" si="10"/>
        <v>85349.218447290827</v>
      </c>
      <c r="H15" s="252">
        <f t="shared" si="10"/>
        <v>89854.65746209021</v>
      </c>
      <c r="I15" s="252">
        <f t="shared" si="10"/>
        <v>93815.940381830951</v>
      </c>
      <c r="J15" s="252">
        <f t="shared" ref="J15:L15" si="11">J13-J14</f>
        <v>96632.387516624367</v>
      </c>
      <c r="K15" s="252">
        <f t="shared" si="11"/>
        <v>98642.234208089954</v>
      </c>
      <c r="L15" s="252">
        <f t="shared" si="11"/>
        <v>99527.075174113939</v>
      </c>
    </row>
    <row r="16" spans="1:12" s="62" customFormat="1" ht="27" customHeight="1">
      <c r="A16" s="251" t="s">
        <v>174</v>
      </c>
      <c r="B16" s="366">
        <f>B15</f>
        <v>-74.125222912499993</v>
      </c>
      <c r="C16" s="252">
        <f>B16+C15</f>
        <v>-17238.577980213027</v>
      </c>
      <c r="D16" s="252">
        <f t="shared" ref="D16:L16" si="12">C16+D15</f>
        <v>43312.252939298029</v>
      </c>
      <c r="E16" s="252">
        <f t="shared" si="12"/>
        <v>138505.40832897948</v>
      </c>
      <c r="F16" s="252">
        <f t="shared" si="12"/>
        <v>224992.35649911355</v>
      </c>
      <c r="G16" s="252">
        <f t="shared" si="12"/>
        <v>310341.57494640438</v>
      </c>
      <c r="H16" s="252">
        <f t="shared" si="12"/>
        <v>400196.23240849457</v>
      </c>
      <c r="I16" s="252">
        <f t="shared" si="12"/>
        <v>494012.17279032554</v>
      </c>
      <c r="J16" s="252">
        <f t="shared" si="12"/>
        <v>590644.56030694989</v>
      </c>
      <c r="K16" s="252">
        <f t="shared" si="12"/>
        <v>689286.79451503989</v>
      </c>
      <c r="L16" s="252">
        <f t="shared" si="12"/>
        <v>788813.86968915386</v>
      </c>
    </row>
    <row r="17" spans="1:12" s="62" customFormat="1" ht="12.6" customHeight="1">
      <c r="A17" s="147" t="s">
        <v>75</v>
      </c>
      <c r="B17" s="152">
        <f t="shared" ref="B17" si="13">B15</f>
        <v>-74.125222912499993</v>
      </c>
      <c r="C17" s="152">
        <f>C15</f>
        <v>-17164.452757300529</v>
      </c>
      <c r="D17" s="152">
        <f>D15</f>
        <v>60550.830919511056</v>
      </c>
      <c r="E17" s="152">
        <f t="shared" ref="E17:I17" si="14">E15</f>
        <v>95193.155389681444</v>
      </c>
      <c r="F17" s="152">
        <f t="shared" si="14"/>
        <v>86486.94817013407</v>
      </c>
      <c r="G17" s="152">
        <f t="shared" si="14"/>
        <v>85349.218447290827</v>
      </c>
      <c r="H17" s="152">
        <f t="shared" si="14"/>
        <v>89854.65746209021</v>
      </c>
      <c r="I17" s="152">
        <f t="shared" si="14"/>
        <v>93815.940381830951</v>
      </c>
      <c r="J17" s="152">
        <f t="shared" ref="J17:L17" si="15">J15</f>
        <v>96632.387516624367</v>
      </c>
      <c r="K17" s="152">
        <f t="shared" si="15"/>
        <v>98642.234208089954</v>
      </c>
      <c r="L17" s="152">
        <f t="shared" si="15"/>
        <v>99527.075174113939</v>
      </c>
    </row>
    <row r="18" spans="1:12" s="62" customFormat="1" ht="12.6" customHeight="1">
      <c r="A18" s="147" t="s">
        <v>123</v>
      </c>
      <c r="B18" s="367">
        <f>B17</f>
        <v>-74.125222912499993</v>
      </c>
      <c r="C18" s="152">
        <f>B18+C17</f>
        <v>-17238.577980213027</v>
      </c>
      <c r="D18" s="152">
        <f t="shared" ref="D18:L18" si="16">C18+D17</f>
        <v>43312.252939298029</v>
      </c>
      <c r="E18" s="152">
        <f t="shared" si="16"/>
        <v>138505.40832897948</v>
      </c>
      <c r="F18" s="152">
        <f t="shared" si="16"/>
        <v>224992.35649911355</v>
      </c>
      <c r="G18" s="152">
        <f t="shared" si="16"/>
        <v>310341.57494640438</v>
      </c>
      <c r="H18" s="152">
        <f t="shared" si="16"/>
        <v>400196.23240849457</v>
      </c>
      <c r="I18" s="152">
        <f t="shared" si="16"/>
        <v>494012.17279032554</v>
      </c>
      <c r="J18" s="152">
        <f t="shared" si="16"/>
        <v>590644.56030694989</v>
      </c>
      <c r="K18" s="152">
        <f t="shared" si="16"/>
        <v>689286.79451503989</v>
      </c>
      <c r="L18" s="152">
        <f t="shared" si="16"/>
        <v>788813.86968915386</v>
      </c>
    </row>
    <row r="19" spans="1:12" s="62" customFormat="1" ht="12.6" customHeight="1">
      <c r="A19" s="145" t="s">
        <v>64</v>
      </c>
      <c r="B19" s="151">
        <v>0</v>
      </c>
      <c r="C19" s="151">
        <v>0</v>
      </c>
      <c r="D19" s="151">
        <f t="shared" ref="D19:I19" si="17">IF(D17/D3&lt;0,0,D17/D3)</f>
        <v>0.15431801049171523</v>
      </c>
      <c r="E19" s="151">
        <f t="shared" si="17"/>
        <v>0.17954321529848288</v>
      </c>
      <c r="F19" s="151">
        <f t="shared" si="17"/>
        <v>0.15369824428619533</v>
      </c>
      <c r="G19" s="151">
        <f t="shared" si="17"/>
        <v>0.14292964678576486</v>
      </c>
      <c r="H19" s="151">
        <f t="shared" si="17"/>
        <v>0.14330919805829262</v>
      </c>
      <c r="I19" s="151">
        <f t="shared" si="17"/>
        <v>0.14250195085883013</v>
      </c>
      <c r="J19" s="151">
        <f t="shared" ref="J19:L19" si="18">IF(J17/J3&lt;0,0,J17/J3)</f>
        <v>0.13979047627189486</v>
      </c>
      <c r="K19" s="151">
        <f t="shared" si="18"/>
        <v>0.13590282231893602</v>
      </c>
      <c r="L19" s="151">
        <f t="shared" si="18"/>
        <v>0.1305922841545627</v>
      </c>
    </row>
    <row r="20" spans="1:12" s="84" customFormat="1"/>
    <row r="21" spans="1:12" s="84" customFormat="1"/>
    <row r="22" spans="1:12" s="84" customFormat="1"/>
    <row r="23" spans="1:12" s="84" customFormat="1"/>
    <row r="24" spans="1:12" s="84" customFormat="1"/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4">
    <tabColor rgb="FFC00000"/>
  </sheetPr>
  <dimension ref="A1:N13"/>
  <sheetViews>
    <sheetView zoomScaleNormal="100" workbookViewId="0">
      <selection activeCell="D26" sqref="D26"/>
    </sheetView>
  </sheetViews>
  <sheetFormatPr defaultColWidth="9.140625" defaultRowHeight="12.75"/>
  <cols>
    <col min="1" max="1" width="49.85546875" style="11" customWidth="1"/>
    <col min="2" max="2" width="24.28515625" style="11" customWidth="1"/>
    <col min="3" max="16384" width="9.140625" style="11"/>
  </cols>
  <sheetData>
    <row r="1" spans="1:14" s="154" customFormat="1" ht="17.45" customHeight="1">
      <c r="A1" s="56" t="s">
        <v>36</v>
      </c>
    </row>
    <row r="2" spans="1:14" s="62" customFormat="1" ht="12.6" customHeight="1">
      <c r="A2" s="451" t="s">
        <v>27</v>
      </c>
      <c r="B2" s="451"/>
    </row>
    <row r="3" spans="1:14" s="62" customFormat="1" ht="12.6" customHeight="1">
      <c r="A3" s="155" t="s">
        <v>94</v>
      </c>
      <c r="B3" s="156">
        <f>ДДС!ED39</f>
        <v>128</v>
      </c>
    </row>
    <row r="4" spans="1:14" s="62" customFormat="1" ht="12.6" customHeight="1">
      <c r="A4" s="155" t="s">
        <v>83</v>
      </c>
      <c r="B4" s="156">
        <f>ДДС!ED32</f>
        <v>911836.02696705458</v>
      </c>
    </row>
    <row r="5" spans="1:14" s="62" customFormat="1" ht="12.6" customHeight="1">
      <c r="A5" s="155" t="s">
        <v>84</v>
      </c>
      <c r="B5" s="202">
        <f>ДДС!ED36</f>
        <v>546064.48220819805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s="62" customFormat="1" ht="12.6" customHeight="1">
      <c r="A6" s="157" t="s">
        <v>79</v>
      </c>
      <c r="B6" s="203">
        <f>POWER(1+IRR(ДДС!AA31:ED31),12)-1</f>
        <v>2.5100509033072407</v>
      </c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s="62" customFormat="1" ht="12.6" customHeight="1">
      <c r="A7" s="155" t="s">
        <v>80</v>
      </c>
      <c r="B7" s="204">
        <f>1+B5/$B$10</f>
        <v>2.3683064860956407</v>
      </c>
      <c r="D7" s="200" t="s">
        <v>144</v>
      </c>
      <c r="E7" s="200" t="s">
        <v>143</v>
      </c>
      <c r="F7" s="153"/>
      <c r="G7" s="153"/>
      <c r="H7" s="153"/>
      <c r="I7" s="153"/>
      <c r="J7" s="153"/>
      <c r="K7" s="153"/>
      <c r="L7" s="153"/>
      <c r="M7" s="153"/>
      <c r="N7" s="153"/>
    </row>
    <row r="8" spans="1:14" s="62" customFormat="1" ht="12.6" customHeight="1">
      <c r="A8" s="155" t="s">
        <v>81</v>
      </c>
      <c r="B8" s="159">
        <f>SUM(ДДС!AA37:ED37)</f>
        <v>41.776689159301249</v>
      </c>
      <c r="D8" s="158">
        <f>INT(B8/12)</f>
        <v>3</v>
      </c>
      <c r="E8" s="158">
        <f>INT(MOD(B8,12))</f>
        <v>5</v>
      </c>
    </row>
    <row r="9" spans="1:14" s="62" customFormat="1" ht="12.6" customHeight="1">
      <c r="A9" s="155" t="s">
        <v>82</v>
      </c>
      <c r="B9" s="159">
        <f>SUM(ДДС!AA38:ED38)</f>
        <v>43.996677202377889</v>
      </c>
      <c r="D9" s="158">
        <f>INT(B9/12)</f>
        <v>3</v>
      </c>
      <c r="E9" s="158">
        <f>INT(MOD(B9,12))</f>
        <v>7</v>
      </c>
    </row>
    <row r="10" spans="1:14" s="62" customFormat="1" ht="12.6" customHeight="1">
      <c r="A10" s="48" t="s">
        <v>70</v>
      </c>
      <c r="B10" s="149">
        <f>Инвестиции!E76</f>
        <v>399080.53331410553</v>
      </c>
    </row>
    <row r="11" spans="1:14" s="62" customFormat="1" ht="12.6" customHeight="1">
      <c r="A11" s="48" t="s">
        <v>17</v>
      </c>
      <c r="B11" s="160">
        <f>AVERAGE(ОПиУ!D19:L19)</f>
        <v>0.1469539831694083</v>
      </c>
    </row>
    <row r="12" spans="1:14" s="62" customFormat="1" ht="12.6" customHeight="1">
      <c r="A12" s="48" t="s">
        <v>76</v>
      </c>
      <c r="B12" s="149">
        <f>ОПиУ!L18</f>
        <v>788813.86968915386</v>
      </c>
    </row>
    <row r="13" spans="1:14" s="62" customFormat="1" ht="12.6" customHeight="1">
      <c r="A13" s="48" t="s">
        <v>16</v>
      </c>
      <c r="B13" s="161">
        <f>Исх.данные!B7</f>
        <v>6.0228105983049819E-2</v>
      </c>
    </row>
  </sheetData>
  <mergeCells count="1">
    <mergeCell ref="A2:B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A1:I36"/>
  <sheetViews>
    <sheetView zoomScale="115" zoomScaleNormal="115" workbookViewId="0">
      <selection activeCell="D14" sqref="D14"/>
    </sheetView>
  </sheetViews>
  <sheetFormatPr defaultColWidth="9.140625" defaultRowHeight="15"/>
  <cols>
    <col min="1" max="1" width="41.85546875" style="14" customWidth="1"/>
    <col min="2" max="2" width="14" style="14" customWidth="1"/>
    <col min="3" max="3" width="9.140625" style="14" customWidth="1"/>
    <col min="4" max="4" width="10.42578125" style="14" customWidth="1"/>
    <col min="5" max="5" width="9.140625" style="14" customWidth="1"/>
    <col min="6" max="6" width="8.85546875" style="14" customWidth="1"/>
    <col min="7" max="7" width="9.140625" style="14" customWidth="1"/>
    <col min="8" max="16384" width="9.140625" style="14"/>
  </cols>
  <sheetData>
    <row r="1" spans="1:9" s="154" customFormat="1" ht="18.600000000000001" customHeight="1">
      <c r="A1" s="56" t="s">
        <v>89</v>
      </c>
    </row>
    <row r="2" spans="1:9" s="83" customFormat="1" ht="12.6" customHeight="1">
      <c r="A2" s="37" t="s">
        <v>20</v>
      </c>
      <c r="B2" s="453" t="s">
        <v>3</v>
      </c>
      <c r="C2" s="453"/>
      <c r="D2" s="453" t="s">
        <v>77</v>
      </c>
      <c r="E2" s="453"/>
      <c r="F2" s="453" t="s">
        <v>42</v>
      </c>
      <c r="G2" s="453"/>
      <c r="H2" s="453" t="s">
        <v>7</v>
      </c>
      <c r="I2" s="453"/>
    </row>
    <row r="3" spans="1:9" s="83" customFormat="1" ht="12.6" customHeight="1">
      <c r="A3" s="52" t="s">
        <v>43</v>
      </c>
      <c r="B3" s="454">
        <f>B15</f>
        <v>546064.48220819805</v>
      </c>
      <c r="C3" s="454"/>
      <c r="D3" s="455">
        <f>B16</f>
        <v>2.5100509033072407</v>
      </c>
      <c r="E3" s="455"/>
      <c r="F3" s="456">
        <f>B17</f>
        <v>2.3683064860956407</v>
      </c>
      <c r="G3" s="456"/>
      <c r="H3" s="457">
        <f>B18</f>
        <v>41.776689159301249</v>
      </c>
      <c r="I3" s="457"/>
    </row>
    <row r="4" spans="1:9" s="83" customFormat="1" ht="12.6" customHeight="1">
      <c r="A4" s="52" t="s">
        <v>44</v>
      </c>
      <c r="B4" s="52" t="s">
        <v>45</v>
      </c>
      <c r="C4" s="52" t="s">
        <v>46</v>
      </c>
      <c r="D4" s="52" t="s">
        <v>45</v>
      </c>
      <c r="E4" s="52" t="s">
        <v>46</v>
      </c>
      <c r="F4" s="52" t="s">
        <v>45</v>
      </c>
      <c r="G4" s="52" t="s">
        <v>46</v>
      </c>
      <c r="H4" s="52" t="s">
        <v>45</v>
      </c>
      <c r="I4" s="52" t="s">
        <v>46</v>
      </c>
    </row>
    <row r="5" spans="1:9" s="83" customFormat="1" ht="12.6" customHeight="1">
      <c r="A5" s="371" t="s">
        <v>150</v>
      </c>
      <c r="B5" s="156">
        <v>232689</v>
      </c>
      <c r="C5" s="162">
        <f>(B5*100%)/$B$3-100%</f>
        <v>-0.5738799947965072</v>
      </c>
      <c r="D5" s="163">
        <v>0.95</v>
      </c>
      <c r="E5" s="162">
        <f>(D5*100%)/$D$3-100%</f>
        <v>-0.62152161984114307</v>
      </c>
      <c r="F5" s="164">
        <v>1.58</v>
      </c>
      <c r="G5" s="162">
        <f>(F5*100%)/$F$3-100%</f>
        <v>-0.33285661747066886</v>
      </c>
      <c r="H5" s="165">
        <v>56.9</v>
      </c>
      <c r="I5" s="162">
        <f>100%-(H5*100%)/$H$3</f>
        <v>-0.36200357531998595</v>
      </c>
    </row>
    <row r="6" spans="1:9" s="83" customFormat="1" ht="12.6" customHeight="1">
      <c r="A6" s="421" t="s">
        <v>220</v>
      </c>
      <c r="B6" s="156">
        <v>377463</v>
      </c>
      <c r="C6" s="162">
        <f>(B6*100%)/$B$3-100%</f>
        <v>-0.30875745942384025</v>
      </c>
      <c r="D6" s="163">
        <v>1.53</v>
      </c>
      <c r="E6" s="162">
        <f>(D6*100%)/$D$3-100%</f>
        <v>-0.39045060879678839</v>
      </c>
      <c r="F6" s="164">
        <v>1.95</v>
      </c>
      <c r="G6" s="162">
        <f>(F6*100%)/$F$3-100%</f>
        <v>-0.17662683801759771</v>
      </c>
      <c r="H6" s="165">
        <v>45.5</v>
      </c>
      <c r="I6" s="162">
        <f>100%-(H6*100%)/$H$3</f>
        <v>-8.9124124377141678E-2</v>
      </c>
    </row>
    <row r="7" spans="1:9" s="83" customFormat="1" ht="12.6" customHeight="1">
      <c r="A7" s="421" t="s">
        <v>151</v>
      </c>
      <c r="B7" s="156">
        <v>416821</v>
      </c>
      <c r="C7" s="162">
        <f>(B7*100%)/$B$3-100%</f>
        <v>-0.23668172243240937</v>
      </c>
      <c r="D7" s="163">
        <v>1.63</v>
      </c>
      <c r="E7" s="162">
        <f>(D7*100%)/$D$3-100%</f>
        <v>-0.3506107793063824</v>
      </c>
      <c r="F7" s="164">
        <v>2.04</v>
      </c>
      <c r="G7" s="162">
        <f>(F7*100%)/$F$3-100%</f>
        <v>-0.13862499977225606</v>
      </c>
      <c r="H7" s="165">
        <v>45.1</v>
      </c>
      <c r="I7" s="162">
        <f>100%-(H7*100%)/$H$3</f>
        <v>-7.954940680019984E-2</v>
      </c>
    </row>
    <row r="8" spans="1:9" s="83" customFormat="1" ht="12.6" customHeight="1">
      <c r="A8" s="421" t="s">
        <v>152</v>
      </c>
      <c r="B8" s="156">
        <v>483054</v>
      </c>
      <c r="C8" s="162">
        <f>(B8*100%)/$B$3-100%</f>
        <v>-0.11539018606995577</v>
      </c>
      <c r="D8" s="163">
        <v>1.98</v>
      </c>
      <c r="E8" s="162">
        <f>(D8*100%)/$D$3-100%</f>
        <v>-0.21117137608996139</v>
      </c>
      <c r="F8" s="164">
        <v>2.2000000000000002</v>
      </c>
      <c r="G8" s="162">
        <f>(F8*100%)/$F$3-100%</f>
        <v>-7.1066176224981903E-2</v>
      </c>
      <c r="H8" s="165">
        <v>43.7</v>
      </c>
      <c r="I8" s="162">
        <f>100%-(H8*100%)/$H$3</f>
        <v>-4.6037895280903074E-2</v>
      </c>
    </row>
    <row r="9" spans="1:9" s="118" customFormat="1" ht="12.6" customHeight="1"/>
    <row r="10" spans="1:9" s="118" customFormat="1" ht="12.6" customHeight="1"/>
    <row r="11" spans="1:9" s="118" customFormat="1" ht="12.6" customHeight="1"/>
    <row r="12" spans="1:9" s="118" customFormat="1" ht="12.6" customHeight="1"/>
    <row r="13" spans="1:9" s="118" customFormat="1" ht="12.6" customHeight="1">
      <c r="F13" s="452"/>
      <c r="G13" s="452"/>
      <c r="H13" s="452"/>
      <c r="I13" s="452"/>
    </row>
    <row r="14" spans="1:9" s="120" customFormat="1" ht="18" customHeight="1">
      <c r="A14" s="56" t="s">
        <v>93</v>
      </c>
      <c r="F14" s="452"/>
      <c r="G14" s="452"/>
      <c r="H14" s="452"/>
      <c r="I14" s="452"/>
    </row>
    <row r="15" spans="1:9" s="83" customFormat="1" ht="12.6" customHeight="1">
      <c r="A15" s="155" t="str">
        <f>'Фин. показатели'!A5</f>
        <v>Чистый дисконтированный доход (NPV), тыс. руб.</v>
      </c>
      <c r="B15" s="156">
        <f>'Фин. показатели'!B5</f>
        <v>546064.48220819805</v>
      </c>
      <c r="F15" s="452"/>
      <c r="G15" s="452"/>
      <c r="H15" s="452"/>
      <c r="I15" s="452"/>
    </row>
    <row r="16" spans="1:9" s="83" customFormat="1" ht="12.6" customHeight="1">
      <c r="A16" s="157" t="s">
        <v>79</v>
      </c>
      <c r="B16" s="160">
        <f>'Фин. показатели'!B6</f>
        <v>2.5100509033072407</v>
      </c>
      <c r="F16" s="452"/>
      <c r="G16" s="452"/>
      <c r="H16" s="452"/>
      <c r="I16" s="452"/>
    </row>
    <row r="17" spans="1:2" s="83" customFormat="1" ht="12.6" customHeight="1">
      <c r="A17" s="155" t="s">
        <v>80</v>
      </c>
      <c r="B17" s="166">
        <f>'Фин. показатели'!B7</f>
        <v>2.3683064860956407</v>
      </c>
    </row>
    <row r="18" spans="1:2" s="83" customFormat="1" ht="12.6" customHeight="1">
      <c r="A18" s="155" t="s">
        <v>81</v>
      </c>
      <c r="B18" s="159">
        <f>'Фин. показатели'!B8</f>
        <v>41.776689159301249</v>
      </c>
    </row>
    <row r="19" spans="1:2" s="118" customFormat="1" ht="12.75"/>
    <row r="20" spans="1:2" s="118" customFormat="1" ht="12.75"/>
    <row r="21" spans="1:2" s="118" customFormat="1" ht="12.75"/>
    <row r="22" spans="1:2" s="118" customFormat="1" ht="12.75"/>
    <row r="36" ht="18.75" customHeight="1"/>
  </sheetData>
  <mergeCells count="9">
    <mergeCell ref="F13:I16"/>
    <mergeCell ref="B2:C2"/>
    <mergeCell ref="D2:E2"/>
    <mergeCell ref="F2:G2"/>
    <mergeCell ref="H2:I2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1:J8"/>
  <sheetViews>
    <sheetView zoomScaleNormal="100" workbookViewId="0">
      <selection activeCell="H19" sqref="H19"/>
    </sheetView>
  </sheetViews>
  <sheetFormatPr defaultColWidth="9.140625" defaultRowHeight="12.75"/>
  <cols>
    <col min="1" max="1" width="37.28515625" style="21" customWidth="1"/>
    <col min="2" max="10" width="13.42578125" style="21" customWidth="1"/>
    <col min="11" max="16384" width="9.140625" style="21"/>
  </cols>
  <sheetData>
    <row r="1" spans="1:10" s="154" customFormat="1" ht="18" customHeight="1">
      <c r="A1" s="56" t="s">
        <v>175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s="111" customFormat="1" ht="12.6" customHeight="1">
      <c r="A2" s="189" t="s">
        <v>202</v>
      </c>
      <c r="B2" s="190">
        <f>'Продажи и Выручка'!$F$42*'Точка безубыточности'!B8</f>
        <v>0</v>
      </c>
      <c r="C2" s="190">
        <f>'Продажи и Выручка'!$F$42*'Точка безубыточности'!C8</f>
        <v>70876.666704086572</v>
      </c>
      <c r="D2" s="190">
        <f>'Продажи и Выручка'!$F$42*'Точка безубыточности'!D8</f>
        <v>141753.33340817314</v>
      </c>
      <c r="E2" s="190">
        <f>'Продажи и Выручка'!$F$42*'Точка безубыточности'!E8</f>
        <v>212630.00011225973</v>
      </c>
      <c r="F2" s="190">
        <f>'Продажи и Выручка'!$F$42*'Точка безубыточности'!F8</f>
        <v>283506.66681634629</v>
      </c>
      <c r="G2" s="190">
        <f>'Продажи и Выручка'!$F$42*'Точка безубыточности'!G8</f>
        <v>354383.33352043288</v>
      </c>
      <c r="H2" s="190">
        <f>'Продажи и Выручка'!$F$42*'Точка безубыточности'!H8</f>
        <v>425260.00022451952</v>
      </c>
      <c r="I2" s="190">
        <f>'Продажи и Выручка'!$F$42*'Точка безубыточности'!I8</f>
        <v>496136.66692860611</v>
      </c>
      <c r="J2" s="190">
        <f>'Продажи и Выручка'!$F$42*'Точка безубыточности'!J8</f>
        <v>567013.33363269269</v>
      </c>
    </row>
    <row r="3" spans="1:10" s="111" customFormat="1" ht="12.6" customHeight="1">
      <c r="A3" s="191" t="s">
        <v>121</v>
      </c>
      <c r="B3" s="192">
        <f>'Переменные издержки проекта'!$G$20*'Точка безубыточности'!B8</f>
        <v>0</v>
      </c>
      <c r="C3" s="192">
        <f>'Переменные издержки проекта'!$G$20*'Точка безубыточности'!C8</f>
        <v>33474.544537275244</v>
      </c>
      <c r="D3" s="192">
        <f>'Переменные издержки проекта'!$G$20*'Точка безубыточности'!D8</f>
        <v>66949.089074550488</v>
      </c>
      <c r="E3" s="192">
        <f>'Переменные издержки проекта'!$G$20*'Точка безубыточности'!E8</f>
        <v>100423.63361182573</v>
      </c>
      <c r="F3" s="192">
        <f>'Переменные издержки проекта'!$G$20*'Точка безубыточности'!F8</f>
        <v>133898.17814910098</v>
      </c>
      <c r="G3" s="192">
        <f>'Переменные издержки проекта'!$G$20*'Точка безубыточности'!G8</f>
        <v>167372.72268637625</v>
      </c>
      <c r="H3" s="192">
        <f>'Переменные издержки проекта'!$G$20*'Точка безубыточности'!H8</f>
        <v>200847.26722365149</v>
      </c>
      <c r="I3" s="192">
        <f>'Переменные издержки проекта'!$G$20*'Точка безубыточности'!I8</f>
        <v>234321.81176092676</v>
      </c>
      <c r="J3" s="192">
        <f>'Переменные издержки проекта'!$G$20*'Точка безубыточности'!J8</f>
        <v>267796.35629820201</v>
      </c>
    </row>
    <row r="4" spans="1:10" s="111" customFormat="1" ht="12.6" customHeight="1">
      <c r="A4" s="191" t="s">
        <v>132</v>
      </c>
      <c r="B4" s="192">
        <f>ДДС!G64</f>
        <v>149608.61496000001</v>
      </c>
      <c r="C4" s="192">
        <f>B4</f>
        <v>149608.61496000001</v>
      </c>
      <c r="D4" s="192">
        <f t="shared" ref="D4:J4" si="0">C4</f>
        <v>149608.61496000001</v>
      </c>
      <c r="E4" s="192">
        <f t="shared" si="0"/>
        <v>149608.61496000001</v>
      </c>
      <c r="F4" s="192">
        <f t="shared" si="0"/>
        <v>149608.61496000001</v>
      </c>
      <c r="G4" s="192">
        <f t="shared" si="0"/>
        <v>149608.61496000001</v>
      </c>
      <c r="H4" s="192">
        <f t="shared" si="0"/>
        <v>149608.61496000001</v>
      </c>
      <c r="I4" s="192">
        <f t="shared" si="0"/>
        <v>149608.61496000001</v>
      </c>
      <c r="J4" s="192">
        <f t="shared" si="0"/>
        <v>149608.61496000001</v>
      </c>
    </row>
    <row r="5" spans="1:10" s="111" customFormat="1" ht="12.6" customHeight="1">
      <c r="A5" s="191" t="s">
        <v>115</v>
      </c>
      <c r="B5" s="192">
        <f>B3+B4</f>
        <v>149608.61496000001</v>
      </c>
      <c r="C5" s="192">
        <f t="shared" ref="C5:J5" si="1">C3+C4</f>
        <v>183083.15949727525</v>
      </c>
      <c r="D5" s="192">
        <f t="shared" si="1"/>
        <v>216557.70403455049</v>
      </c>
      <c r="E5" s="192">
        <f t="shared" si="1"/>
        <v>250032.24857182574</v>
      </c>
      <c r="F5" s="192">
        <f t="shared" si="1"/>
        <v>283506.79310910101</v>
      </c>
      <c r="G5" s="192">
        <f t="shared" si="1"/>
        <v>316981.33764637623</v>
      </c>
      <c r="H5" s="192">
        <f t="shared" si="1"/>
        <v>350455.8821836515</v>
      </c>
      <c r="I5" s="192">
        <f t="shared" si="1"/>
        <v>383930.42672092677</v>
      </c>
      <c r="J5" s="192">
        <f t="shared" si="1"/>
        <v>417404.97125820199</v>
      </c>
    </row>
    <row r="6" spans="1:10" s="111" customFormat="1" ht="12.6" customHeight="1">
      <c r="A6" s="191" t="s">
        <v>116</v>
      </c>
      <c r="B6" s="192">
        <f>B2-B5</f>
        <v>-149608.61496000001</v>
      </c>
      <c r="C6" s="192">
        <f t="shared" ref="C6:I6" si="2">C2-C5</f>
        <v>-112206.49279318868</v>
      </c>
      <c r="D6" s="192">
        <f t="shared" si="2"/>
        <v>-74804.370626377349</v>
      </c>
      <c r="E6" s="192">
        <f t="shared" si="2"/>
        <v>-37402.248459566006</v>
      </c>
      <c r="F6" s="201">
        <f t="shared" si="2"/>
        <v>-0.12629275472136214</v>
      </c>
      <c r="G6" s="192">
        <f t="shared" si="2"/>
        <v>37401.995874056651</v>
      </c>
      <c r="H6" s="192">
        <f t="shared" si="2"/>
        <v>74804.118040868023</v>
      </c>
      <c r="I6" s="192">
        <f t="shared" si="2"/>
        <v>112206.24020767934</v>
      </c>
      <c r="J6" s="192">
        <f>J2-J5</f>
        <v>149608.36237449071</v>
      </c>
    </row>
    <row r="7" spans="1:10" s="111" customFormat="1" ht="12.6" customHeight="1">
      <c r="A7" s="167" t="s">
        <v>117</v>
      </c>
      <c r="B7" s="170">
        <v>0.104964</v>
      </c>
    </row>
    <row r="8" spans="1:10" s="168" customFormat="1">
      <c r="A8" s="168" t="s">
        <v>223</v>
      </c>
      <c r="B8" s="334">
        <v>0</v>
      </c>
      <c r="C8" s="334">
        <f>B8+$B$7</f>
        <v>0.104964</v>
      </c>
      <c r="D8" s="334">
        <f t="shared" ref="D8:J8" si="3">C8+$B$7</f>
        <v>0.209928</v>
      </c>
      <c r="E8" s="334">
        <f t="shared" si="3"/>
        <v>0.31489200000000001</v>
      </c>
      <c r="F8" s="334">
        <f t="shared" si="3"/>
        <v>0.41985600000000001</v>
      </c>
      <c r="G8" s="334">
        <f t="shared" si="3"/>
        <v>0.52482000000000006</v>
      </c>
      <c r="H8" s="334">
        <f t="shared" si="3"/>
        <v>0.62978400000000012</v>
      </c>
      <c r="I8" s="334">
        <f t="shared" si="3"/>
        <v>0.73474800000000018</v>
      </c>
      <c r="J8" s="334">
        <f t="shared" si="3"/>
        <v>0.83971200000000024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0">
    <tabColor theme="2" tint="-0.749992370372631"/>
  </sheetPr>
  <dimension ref="A1:G26"/>
  <sheetViews>
    <sheetView workbookViewId="0">
      <selection activeCell="E29" sqref="E29"/>
    </sheetView>
  </sheetViews>
  <sheetFormatPr defaultColWidth="9.140625" defaultRowHeight="15.75"/>
  <cols>
    <col min="1" max="1" width="9.140625" style="1"/>
    <col min="2" max="2" width="11.28515625" style="1" bestFit="1" customWidth="1"/>
    <col min="3" max="3" width="9.140625" style="1"/>
    <col min="4" max="4" width="9.140625" style="1" customWidth="1"/>
    <col min="5" max="5" width="18.42578125" style="1" customWidth="1"/>
    <col min="6" max="6" width="16" style="1" customWidth="1"/>
    <col min="7" max="16384" width="9.140625" style="1"/>
  </cols>
  <sheetData>
    <row r="1" spans="1:7">
      <c r="A1" s="2" t="s">
        <v>11</v>
      </c>
      <c r="B1" s="7" t="e">
        <f>SUM(#REF!)/SUM(#REF!)</f>
        <v>#REF!</v>
      </c>
      <c r="C1" s="2"/>
      <c r="D1" s="3" t="e">
        <f>$D$5/($B$1-$B$2)</f>
        <v>#REF!</v>
      </c>
      <c r="E1" s="2"/>
      <c r="F1" s="2"/>
      <c r="G1" s="2"/>
    </row>
    <row r="2" spans="1:7">
      <c r="A2" s="2" t="s">
        <v>10</v>
      </c>
      <c r="B2" s="8" t="e">
        <f>SUM(#REF!)/SUM(#REF!)</f>
        <v>#REF!</v>
      </c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4" t="s">
        <v>12</v>
      </c>
      <c r="D4" s="4" t="s">
        <v>13</v>
      </c>
      <c r="E4" s="4" t="s">
        <v>14</v>
      </c>
      <c r="F4" s="4" t="s">
        <v>15</v>
      </c>
      <c r="G4" s="2"/>
    </row>
    <row r="5" spans="1:7">
      <c r="A5" s="2"/>
      <c r="B5" s="2"/>
      <c r="C5" s="5">
        <v>0</v>
      </c>
      <c r="D5" s="6" t="e">
        <f>#REF!+ДДС!#REF!/12</f>
        <v>#REF!</v>
      </c>
      <c r="E5" s="6" t="e">
        <f>D5+$B$1*C5</f>
        <v>#REF!</v>
      </c>
      <c r="F5" s="6" t="e">
        <f>$B$2*C5</f>
        <v>#REF!</v>
      </c>
      <c r="G5" s="2"/>
    </row>
    <row r="6" spans="1:7">
      <c r="A6" s="2"/>
      <c r="B6" s="2"/>
      <c r="C6" s="2">
        <v>200</v>
      </c>
      <c r="D6" s="6" t="e">
        <f>#REF!+ДДС!#REF!/12</f>
        <v>#REF!</v>
      </c>
      <c r="E6" s="6" t="e">
        <f t="shared" ref="E6:E21" si="0">D6+$B$1*C6</f>
        <v>#REF!</v>
      </c>
      <c r="F6" s="6" t="e">
        <f t="shared" ref="F6:F21" si="1">$B$2*C6</f>
        <v>#REF!</v>
      </c>
      <c r="G6" s="2"/>
    </row>
    <row r="7" spans="1:7">
      <c r="A7" s="2"/>
      <c r="B7" s="2"/>
      <c r="C7" s="5">
        <v>400</v>
      </c>
      <c r="D7" s="6" t="e">
        <f>#REF!+ДДС!#REF!/12</f>
        <v>#REF!</v>
      </c>
      <c r="E7" s="6" t="e">
        <f t="shared" si="0"/>
        <v>#REF!</v>
      </c>
      <c r="F7" s="6" t="e">
        <f t="shared" si="1"/>
        <v>#REF!</v>
      </c>
      <c r="G7" s="2"/>
    </row>
    <row r="8" spans="1:7">
      <c r="A8" s="2"/>
      <c r="B8" s="2"/>
      <c r="C8" s="5">
        <v>600</v>
      </c>
      <c r="D8" s="6" t="e">
        <f>#REF!+ДДС!#REF!/12</f>
        <v>#REF!</v>
      </c>
      <c r="E8" s="6" t="e">
        <f t="shared" si="0"/>
        <v>#REF!</v>
      </c>
      <c r="F8" s="6" t="e">
        <f t="shared" si="1"/>
        <v>#REF!</v>
      </c>
      <c r="G8" s="2"/>
    </row>
    <row r="9" spans="1:7">
      <c r="A9" s="2"/>
      <c r="B9" s="2"/>
      <c r="C9" s="2">
        <v>800</v>
      </c>
      <c r="D9" s="6" t="e">
        <f>#REF!+ДДС!#REF!/12</f>
        <v>#REF!</v>
      </c>
      <c r="E9" s="6" t="e">
        <f t="shared" si="0"/>
        <v>#REF!</v>
      </c>
      <c r="F9" s="6" t="e">
        <f t="shared" si="1"/>
        <v>#REF!</v>
      </c>
      <c r="G9" s="2"/>
    </row>
    <row r="10" spans="1:7">
      <c r="A10" s="2"/>
      <c r="B10" s="2"/>
      <c r="C10" s="5">
        <v>1000</v>
      </c>
      <c r="D10" s="6" t="e">
        <f>#REF!+ДДС!#REF!/12</f>
        <v>#REF!</v>
      </c>
      <c r="E10" s="6" t="e">
        <f t="shared" si="0"/>
        <v>#REF!</v>
      </c>
      <c r="F10" s="6" t="e">
        <f t="shared" si="1"/>
        <v>#REF!</v>
      </c>
      <c r="G10" s="2"/>
    </row>
    <row r="11" spans="1:7">
      <c r="A11" s="2"/>
      <c r="B11" s="2"/>
      <c r="C11" s="5">
        <v>1200</v>
      </c>
      <c r="D11" s="6" t="e">
        <f>#REF!+ДДС!#REF!/12</f>
        <v>#REF!</v>
      </c>
      <c r="E11" s="6" t="e">
        <f t="shared" si="0"/>
        <v>#REF!</v>
      </c>
      <c r="F11" s="6" t="e">
        <f t="shared" si="1"/>
        <v>#REF!</v>
      </c>
      <c r="G11" s="2"/>
    </row>
    <row r="12" spans="1:7">
      <c r="A12" s="2"/>
      <c r="B12" s="2"/>
      <c r="C12" s="2">
        <v>1400</v>
      </c>
      <c r="D12" s="6" t="e">
        <f>#REF!+ДДС!#REF!/12</f>
        <v>#REF!</v>
      </c>
      <c r="E12" s="6" t="e">
        <f t="shared" si="0"/>
        <v>#REF!</v>
      </c>
      <c r="F12" s="6" t="e">
        <f t="shared" si="1"/>
        <v>#REF!</v>
      </c>
      <c r="G12" s="2"/>
    </row>
    <row r="13" spans="1:7">
      <c r="A13" s="2"/>
      <c r="B13" s="2"/>
      <c r="C13" s="5">
        <v>1600</v>
      </c>
      <c r="D13" s="6" t="e">
        <f>#REF!+ДДС!#REF!/12</f>
        <v>#REF!</v>
      </c>
      <c r="E13" s="6" t="e">
        <f t="shared" si="0"/>
        <v>#REF!</v>
      </c>
      <c r="F13" s="6" t="e">
        <f t="shared" si="1"/>
        <v>#REF!</v>
      </c>
      <c r="G13" s="2"/>
    </row>
    <row r="14" spans="1:7">
      <c r="A14" s="2"/>
      <c r="B14" s="2"/>
      <c r="C14" s="5">
        <v>1800</v>
      </c>
      <c r="D14" s="6" t="e">
        <f>#REF!+ДДС!#REF!/12</f>
        <v>#REF!</v>
      </c>
      <c r="E14" s="6" t="e">
        <f t="shared" si="0"/>
        <v>#REF!</v>
      </c>
      <c r="F14" s="6" t="e">
        <f t="shared" si="1"/>
        <v>#REF!</v>
      </c>
      <c r="G14" s="2"/>
    </row>
    <row r="15" spans="1:7">
      <c r="A15" s="2"/>
      <c r="B15" s="2"/>
      <c r="C15" s="2">
        <v>2000</v>
      </c>
      <c r="D15" s="6" t="e">
        <f>#REF!+ДДС!#REF!/12</f>
        <v>#REF!</v>
      </c>
      <c r="E15" s="6" t="e">
        <f t="shared" si="0"/>
        <v>#REF!</v>
      </c>
      <c r="F15" s="6" t="e">
        <f t="shared" si="1"/>
        <v>#REF!</v>
      </c>
      <c r="G15" s="2"/>
    </row>
    <row r="16" spans="1:7">
      <c r="A16" s="2"/>
      <c r="B16" s="2"/>
      <c r="C16" s="5">
        <v>2200</v>
      </c>
      <c r="D16" s="6" t="e">
        <f>#REF!+ДДС!#REF!/12</f>
        <v>#REF!</v>
      </c>
      <c r="E16" s="6" t="e">
        <f t="shared" si="0"/>
        <v>#REF!</v>
      </c>
      <c r="F16" s="6" t="e">
        <f t="shared" si="1"/>
        <v>#REF!</v>
      </c>
      <c r="G16" s="2"/>
    </row>
    <row r="17" spans="1:7">
      <c r="A17" s="2"/>
      <c r="B17" s="2"/>
      <c r="C17" s="5">
        <v>2400</v>
      </c>
      <c r="D17" s="6" t="e">
        <f>#REF!+ДДС!#REF!/12</f>
        <v>#REF!</v>
      </c>
      <c r="E17" s="6" t="e">
        <f t="shared" si="0"/>
        <v>#REF!</v>
      </c>
      <c r="F17" s="6" t="e">
        <f t="shared" si="1"/>
        <v>#REF!</v>
      </c>
      <c r="G17" s="2"/>
    </row>
    <row r="18" spans="1:7">
      <c r="A18" s="2"/>
      <c r="B18" s="2"/>
      <c r="C18" s="2">
        <v>2600</v>
      </c>
      <c r="D18" s="6" t="e">
        <f>#REF!+ДДС!#REF!/12</f>
        <v>#REF!</v>
      </c>
      <c r="E18" s="6" t="e">
        <f t="shared" si="0"/>
        <v>#REF!</v>
      </c>
      <c r="F18" s="6" t="e">
        <f t="shared" si="1"/>
        <v>#REF!</v>
      </c>
      <c r="G18" s="2"/>
    </row>
    <row r="19" spans="1:7">
      <c r="A19" s="2"/>
      <c r="B19" s="2"/>
      <c r="C19" s="5">
        <v>2800</v>
      </c>
      <c r="D19" s="6" t="e">
        <f>#REF!+ДДС!#REF!/12</f>
        <v>#REF!</v>
      </c>
      <c r="E19" s="6" t="e">
        <f t="shared" si="0"/>
        <v>#REF!</v>
      </c>
      <c r="F19" s="6" t="e">
        <f t="shared" si="1"/>
        <v>#REF!</v>
      </c>
      <c r="G19" s="2"/>
    </row>
    <row r="20" spans="1:7">
      <c r="A20" s="2"/>
      <c r="B20" s="2"/>
      <c r="C20" s="5">
        <v>3000</v>
      </c>
      <c r="D20" s="6" t="e">
        <f>#REF!+ДДС!#REF!/12</f>
        <v>#REF!</v>
      </c>
      <c r="E20" s="6" t="e">
        <f t="shared" si="0"/>
        <v>#REF!</v>
      </c>
      <c r="F20" s="6" t="e">
        <f t="shared" si="1"/>
        <v>#REF!</v>
      </c>
      <c r="G20" s="2"/>
    </row>
    <row r="21" spans="1:7">
      <c r="A21" s="2"/>
      <c r="B21" s="2"/>
      <c r="C21" s="2">
        <v>3200</v>
      </c>
      <c r="D21" s="6" t="e">
        <f>#REF!+ДДС!#REF!/12</f>
        <v>#REF!</v>
      </c>
      <c r="E21" s="6" t="e">
        <f t="shared" si="0"/>
        <v>#REF!</v>
      </c>
      <c r="F21" s="6" t="e">
        <f t="shared" si="1"/>
        <v>#REF!</v>
      </c>
      <c r="G21" s="2"/>
    </row>
    <row r="22" spans="1:7">
      <c r="A22" s="2"/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2"/>
      <c r="B25" s="2"/>
      <c r="C25" s="2"/>
      <c r="D25" s="2"/>
      <c r="E25" s="2"/>
      <c r="F25" s="2"/>
      <c r="G25" s="2"/>
    </row>
    <row r="26" spans="1:7">
      <c r="A26" s="2"/>
      <c r="B26" s="2"/>
      <c r="C26" s="2"/>
      <c r="D26" s="2"/>
      <c r="E26" s="2"/>
      <c r="F26" s="2"/>
      <c r="G26" s="2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</sheetPr>
  <dimension ref="A1:E21"/>
  <sheetViews>
    <sheetView workbookViewId="0">
      <selection activeCell="B16" sqref="B16"/>
    </sheetView>
  </sheetViews>
  <sheetFormatPr defaultColWidth="9.140625" defaultRowHeight="12.75"/>
  <cols>
    <col min="1" max="1" width="49.28515625" style="19" bestFit="1" customWidth="1"/>
    <col min="2" max="2" width="10.42578125" style="19" bestFit="1" customWidth="1"/>
    <col min="3" max="4" width="9.140625" style="19"/>
    <col min="5" max="5" width="11.42578125" style="19" bestFit="1" customWidth="1"/>
    <col min="6" max="16384" width="9.140625" style="19"/>
  </cols>
  <sheetData>
    <row r="1" spans="1:5" s="182" customFormat="1" ht="18" customHeight="1">
      <c r="A1" s="171" t="s">
        <v>96</v>
      </c>
      <c r="B1" s="181"/>
      <c r="C1" s="181"/>
    </row>
    <row r="2" spans="1:5" s="172" customFormat="1" ht="12.6" customHeight="1">
      <c r="A2" s="173" t="s">
        <v>103</v>
      </c>
      <c r="B2" s="174"/>
    </row>
    <row r="3" spans="1:5" s="175" customFormat="1" ht="12.6" customHeight="1">
      <c r="A3" s="188" t="s">
        <v>98</v>
      </c>
      <c r="B3" s="188" t="s">
        <v>46</v>
      </c>
    </row>
    <row r="4" spans="1:5" s="175" customFormat="1" ht="12.6" customHeight="1">
      <c r="A4" s="183" t="s">
        <v>104</v>
      </c>
      <c r="B4" s="184">
        <v>8.4900000000000003E-2</v>
      </c>
      <c r="E4" s="176"/>
    </row>
    <row r="5" spans="1:5" s="175" customFormat="1" ht="12.6" customHeight="1">
      <c r="A5" s="183" t="s">
        <v>105</v>
      </c>
      <c r="B5" s="184">
        <v>0.01</v>
      </c>
    </row>
    <row r="6" spans="1:5" s="175" customFormat="1" ht="12.6" customHeight="1">
      <c r="A6" s="183" t="s">
        <v>106</v>
      </c>
      <c r="B6" s="184">
        <v>0.01</v>
      </c>
    </row>
    <row r="7" spans="1:5" s="175" customFormat="1" ht="12.6" customHeight="1">
      <c r="A7" s="183" t="s">
        <v>107</v>
      </c>
      <c r="B7" s="184">
        <v>0.01</v>
      </c>
    </row>
    <row r="8" spans="1:5" s="175" customFormat="1" ht="12.6" customHeight="1">
      <c r="A8" s="186" t="s">
        <v>101</v>
      </c>
      <c r="B8" s="187">
        <f>SUM(B4:B7)</f>
        <v>0.11489999999999999</v>
      </c>
    </row>
    <row r="9" spans="1:5" s="175" customFormat="1" ht="12.6" customHeight="1">
      <c r="B9" s="177"/>
    </row>
    <row r="10" spans="1:5" s="175" customFormat="1" ht="12.6" customHeight="1">
      <c r="A10" s="175" t="s">
        <v>504</v>
      </c>
    </row>
    <row r="11" spans="1:5" s="175" customFormat="1" ht="12.6" customHeight="1">
      <c r="A11" s="274" t="s">
        <v>155</v>
      </c>
      <c r="B11" s="229"/>
    </row>
    <row r="12" spans="1:5" s="175" customFormat="1" ht="12.6" customHeight="1"/>
    <row r="13" spans="1:5" s="175" customFormat="1" ht="12.6" customHeight="1">
      <c r="A13" s="178" t="s">
        <v>97</v>
      </c>
    </row>
    <row r="14" spans="1:5" s="175" customFormat="1" ht="12.6" customHeight="1">
      <c r="A14" s="188" t="s">
        <v>98</v>
      </c>
      <c r="B14" s="188" t="s">
        <v>46</v>
      </c>
    </row>
    <row r="15" spans="1:5" s="175" customFormat="1" ht="12.6" customHeight="1">
      <c r="A15" s="183" t="s">
        <v>99</v>
      </c>
      <c r="B15" s="185">
        <f>Исх.данные!C3</f>
        <v>0.27006817066822192</v>
      </c>
    </row>
    <row r="16" spans="1:5" s="175" customFormat="1" ht="12" customHeight="1">
      <c r="A16" s="183" t="s">
        <v>156</v>
      </c>
      <c r="B16" s="185">
        <f>Исх.данные!C4</f>
        <v>0.72993182933177803</v>
      </c>
    </row>
    <row r="17" spans="1:4" s="175" customFormat="1" ht="12.6" customHeight="1">
      <c r="A17" s="183" t="s">
        <v>100</v>
      </c>
      <c r="B17" s="184">
        <f>Исх.данные!B18</f>
        <v>0.2</v>
      </c>
    </row>
    <row r="18" spans="1:4" s="175" customFormat="1" ht="12.6" customHeight="1">
      <c r="A18" s="183" t="s">
        <v>101</v>
      </c>
      <c r="B18" s="184">
        <f>B8</f>
        <v>0.11489999999999999</v>
      </c>
    </row>
    <row r="19" spans="1:4" s="175" customFormat="1" ht="12.6" customHeight="1">
      <c r="A19" s="183" t="s">
        <v>157</v>
      </c>
      <c r="B19" s="185">
        <f>Исх.данные!B9</f>
        <v>0.05</v>
      </c>
    </row>
    <row r="20" spans="1:4" s="175" customFormat="1" ht="12.6" customHeight="1">
      <c r="A20" s="186" t="s">
        <v>102</v>
      </c>
      <c r="B20" s="187">
        <f>B18*B15+B19*B16*(1-B17)</f>
        <v>6.0228105983049819E-2</v>
      </c>
      <c r="C20" s="179"/>
      <c r="D20" s="180"/>
    </row>
    <row r="21" spans="1:4" s="172" customFormat="1"/>
  </sheetData>
  <hyperlinks>
    <hyperlink ref="A11" r:id="rId1" xr:uid="{00000000-0004-0000-1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tabColor theme="6" tint="0.39997558519241921"/>
    <pageSetUpPr fitToPage="1"/>
  </sheetPr>
  <dimension ref="A1:IM107"/>
  <sheetViews>
    <sheetView zoomScale="90" zoomScaleNormal="90" workbookViewId="0">
      <selection activeCell="G21" sqref="G21"/>
    </sheetView>
  </sheetViews>
  <sheetFormatPr defaultColWidth="9.140625" defaultRowHeight="12.75"/>
  <cols>
    <col min="1" max="1" width="51.5703125" style="9" customWidth="1"/>
    <col min="2" max="2" width="21.140625" style="9" customWidth="1"/>
    <col min="3" max="4" width="23.42578125" style="9" customWidth="1"/>
    <col min="5" max="5" width="19.28515625" style="29" customWidth="1"/>
    <col min="6" max="6" width="11" style="9" customWidth="1"/>
    <col min="7" max="7" width="10.7109375" style="9" customWidth="1"/>
    <col min="8" max="9" width="11.28515625" style="9" customWidth="1"/>
    <col min="10" max="10" width="9.7109375" style="9" customWidth="1"/>
    <col min="11" max="11" width="10.7109375" style="9" customWidth="1"/>
    <col min="12" max="12" width="8.42578125" style="9" customWidth="1"/>
    <col min="13" max="13" width="11.140625" style="9" customWidth="1"/>
    <col min="14" max="14" width="8.7109375" style="9" customWidth="1"/>
    <col min="15" max="15" width="30.85546875" style="9" customWidth="1"/>
    <col min="16" max="45" width="8.7109375" style="9" customWidth="1"/>
    <col min="46" max="74" width="11.5703125" style="9" bestFit="1" customWidth="1"/>
    <col min="75" max="197" width="9.42578125" style="9" bestFit="1" customWidth="1"/>
    <col min="198" max="16384" width="9.140625" style="9"/>
  </cols>
  <sheetData>
    <row r="1" spans="1:247" s="20" customFormat="1" ht="18.600000000000001" customHeight="1">
      <c r="A1" s="40" t="s">
        <v>34</v>
      </c>
      <c r="B1" s="27"/>
      <c r="C1" s="24"/>
      <c r="D1" s="24"/>
      <c r="E1" s="28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</row>
    <row r="2" spans="1:247" s="20" customFormat="1" ht="12" customHeight="1">
      <c r="A2" s="37" t="s">
        <v>120</v>
      </c>
      <c r="B2" s="37" t="s">
        <v>49</v>
      </c>
      <c r="C2" s="37" t="s">
        <v>46</v>
      </c>
      <c r="D2" s="193" t="s">
        <v>128</v>
      </c>
      <c r="E2" s="32">
        <v>1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</row>
    <row r="3" spans="1:247" s="20" customFormat="1" ht="12.6" customHeight="1">
      <c r="A3" s="41" t="s">
        <v>1</v>
      </c>
      <c r="B3" s="42">
        <f>SUM(ДДС!C19:ED19)</f>
        <v>107778.94958143891</v>
      </c>
      <c r="C3" s="230">
        <f>B3/B5</f>
        <v>0.27006817066822192</v>
      </c>
      <c r="D3" s="43"/>
      <c r="E3" s="32">
        <v>1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</row>
    <row r="4" spans="1:247" s="20" customFormat="1" ht="12.6" customHeight="1">
      <c r="A4" s="41" t="s">
        <v>206</v>
      </c>
      <c r="B4" s="42">
        <f>SUM(ДДС!C20:ED24)</f>
        <v>291301.58373266674</v>
      </c>
      <c r="C4" s="230">
        <f>B4/B5</f>
        <v>0.72993182933177803</v>
      </c>
      <c r="D4" s="43"/>
      <c r="E4" s="32">
        <v>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</row>
    <row r="5" spans="1:247" s="20" customFormat="1" ht="12.6" customHeight="1">
      <c r="A5" s="44" t="s">
        <v>129</v>
      </c>
      <c r="B5" s="45">
        <f>SUM(B3:B4)</f>
        <v>399080.53331410565</v>
      </c>
      <c r="C5" s="46">
        <v>1</v>
      </c>
      <c r="D5" s="47"/>
      <c r="E5" s="32">
        <v>1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</row>
    <row r="6" spans="1:247" s="20" customFormat="1" ht="12" customHeight="1">
      <c r="A6" s="37" t="s">
        <v>6</v>
      </c>
      <c r="B6" s="37" t="s">
        <v>66</v>
      </c>
      <c r="C6" s="37" t="s">
        <v>142</v>
      </c>
      <c r="D6" s="193" t="s">
        <v>122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</row>
    <row r="7" spans="1:247" s="20" customFormat="1" ht="12.6" customHeight="1">
      <c r="A7" s="33" t="s">
        <v>65</v>
      </c>
      <c r="B7" s="34">
        <f>Ст.дисконт!B20</f>
        <v>6.0228105983049819E-2</v>
      </c>
      <c r="C7" s="35">
        <f>(1+$B$7)^(1/4)-1</f>
        <v>1.4728429777083996E-2</v>
      </c>
      <c r="D7" s="36">
        <f>(1+$B$7)^(1/12)-1</f>
        <v>4.8855689376539058E-3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</row>
    <row r="8" spans="1:247" s="20" customFormat="1" ht="12.6" customHeight="1">
      <c r="A8" s="296" t="s">
        <v>207</v>
      </c>
      <c r="B8" s="296" t="s">
        <v>66</v>
      </c>
      <c r="C8" s="296" t="s">
        <v>142</v>
      </c>
      <c r="D8" s="296" t="s">
        <v>122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</row>
    <row r="9" spans="1:247" s="20" customFormat="1" ht="12.6" customHeight="1">
      <c r="A9" s="33" t="s">
        <v>241</v>
      </c>
      <c r="B9" s="34">
        <v>0.05</v>
      </c>
      <c r="C9" s="35"/>
      <c r="D9" s="36">
        <f>(1+B9)^(1/12)-1</f>
        <v>4.0741237836483535E-3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</row>
    <row r="10" spans="1:247" s="20" customFormat="1" ht="12.6" customHeight="1">
      <c r="A10" s="33" t="s">
        <v>242</v>
      </c>
      <c r="B10" s="403">
        <v>5</v>
      </c>
      <c r="C10" s="35"/>
      <c r="D10" s="403">
        <f>B10*12</f>
        <v>60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</row>
    <row r="11" spans="1:247" s="20" customFormat="1" ht="12.6" customHeight="1">
      <c r="A11" s="33" t="s">
        <v>243</v>
      </c>
      <c r="B11" s="403">
        <v>5</v>
      </c>
      <c r="C11" s="35"/>
      <c r="D11" s="403">
        <v>71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</row>
    <row r="12" spans="1:247" s="20" customFormat="1" ht="12.6" customHeight="1">
      <c r="A12" s="378" t="s">
        <v>386</v>
      </c>
      <c r="B12" s="378" t="s">
        <v>66</v>
      </c>
      <c r="C12" s="378" t="s">
        <v>142</v>
      </c>
      <c r="D12" s="378" t="s">
        <v>122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</row>
    <row r="13" spans="1:247" s="20" customFormat="1" ht="12.6" customHeight="1">
      <c r="A13" s="33" t="s">
        <v>387</v>
      </c>
      <c r="B13" s="34">
        <v>0.09</v>
      </c>
      <c r="C13" s="35"/>
      <c r="D13" s="36">
        <f>(1+B13)^(1/12)-1</f>
        <v>7.2073233161367156E-3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</row>
    <row r="14" spans="1:247" s="20" customFormat="1" ht="12.6" customHeight="1">
      <c r="A14" s="33" t="s">
        <v>242</v>
      </c>
      <c r="B14" s="403">
        <v>5</v>
      </c>
      <c r="C14" s="403"/>
      <c r="D14" s="403">
        <f>B14*12</f>
        <v>60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</row>
    <row r="15" spans="1:247" s="20" customFormat="1" ht="12.6" customHeight="1">
      <c r="A15" s="33" t="s">
        <v>243</v>
      </c>
      <c r="B15" s="403">
        <v>5</v>
      </c>
      <c r="C15" s="403"/>
      <c r="D15" s="403">
        <f>B15*12</f>
        <v>60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</row>
    <row r="16" spans="1:247" s="20" customFormat="1" ht="12.6" customHeight="1">
      <c r="A16" s="37" t="s">
        <v>33</v>
      </c>
      <c r="B16" s="37" t="s">
        <v>67</v>
      </c>
      <c r="C16" s="37" t="s">
        <v>130</v>
      </c>
      <c r="D16" s="193" t="s">
        <v>128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</row>
    <row r="17" spans="1:246" s="20" customFormat="1" ht="12.6" customHeight="1">
      <c r="A17" s="53" t="s">
        <v>119</v>
      </c>
      <c r="B17" s="399" t="s">
        <v>147</v>
      </c>
      <c r="C17" s="54"/>
      <c r="D17" s="54" t="s">
        <v>131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</row>
    <row r="18" spans="1:246" s="20" customFormat="1" ht="12.6" customHeight="1">
      <c r="A18" s="48" t="s">
        <v>32</v>
      </c>
      <c r="B18" s="400">
        <v>0.2</v>
      </c>
      <c r="C18" s="402" t="s">
        <v>46</v>
      </c>
      <c r="D18" s="49" t="s">
        <v>85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</row>
    <row r="19" spans="1:246" s="20" customFormat="1" ht="12.6" customHeight="1">
      <c r="A19" s="48" t="s">
        <v>145</v>
      </c>
      <c r="B19" s="400">
        <v>0.30199999999999999</v>
      </c>
      <c r="C19" s="402" t="s">
        <v>46</v>
      </c>
      <c r="D19" s="50" t="s">
        <v>85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</row>
    <row r="20" spans="1:246" s="20" customFormat="1" ht="12.6" customHeight="1">
      <c r="A20" s="212" t="s">
        <v>148</v>
      </c>
      <c r="B20" s="401">
        <v>0.2</v>
      </c>
      <c r="C20" s="402" t="s">
        <v>46</v>
      </c>
      <c r="D20" s="50" t="s">
        <v>85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</row>
    <row r="21" spans="1:246" s="20" customFormat="1" ht="12.6" customHeight="1">
      <c r="A21" s="212" t="s">
        <v>199</v>
      </c>
      <c r="B21" s="401">
        <f>B20/(100%+B20)</f>
        <v>0.16666666666666669</v>
      </c>
      <c r="C21" s="402" t="s">
        <v>46</v>
      </c>
      <c r="D21" s="50" t="s">
        <v>85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</row>
    <row r="22" spans="1:246" s="20" customFormat="1" ht="12.6" customHeight="1">
      <c r="A22" s="212" t="s">
        <v>209</v>
      </c>
      <c r="B22" s="401">
        <v>1.4999999999999999E-2</v>
      </c>
      <c r="C22" s="402" t="s">
        <v>46</v>
      </c>
      <c r="D22" s="50" t="s">
        <v>85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</row>
    <row r="23" spans="1:246" s="20" customFormat="1" ht="33" customHeight="1">
      <c r="A23" s="205" t="s">
        <v>390</v>
      </c>
      <c r="B23" s="205" t="s">
        <v>133</v>
      </c>
      <c r="C23" s="205" t="s">
        <v>130</v>
      </c>
      <c r="D23" s="206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</row>
    <row r="24" spans="1:246" s="20" customFormat="1" ht="12.6" customHeight="1">
      <c r="A24" s="51" t="s">
        <v>244</v>
      </c>
      <c r="B24" s="398">
        <f>4.646*E4</f>
        <v>4.6459999999999999</v>
      </c>
      <c r="C24" s="195" t="s">
        <v>237</v>
      </c>
      <c r="D24" s="347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</row>
    <row r="25" spans="1:246" s="20" customFormat="1" ht="12.6" customHeight="1">
      <c r="A25" s="51" t="s">
        <v>245</v>
      </c>
      <c r="B25" s="398">
        <f>3.159*E4</f>
        <v>3.1589999999999998</v>
      </c>
      <c r="C25" s="195" t="s">
        <v>237</v>
      </c>
      <c r="D25" s="347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</row>
    <row r="26" spans="1:246" s="20" customFormat="1" ht="12.6" customHeight="1">
      <c r="A26" s="51" t="s">
        <v>246</v>
      </c>
      <c r="B26" s="398">
        <f>2.845*E4</f>
        <v>2.8450000000000002</v>
      </c>
      <c r="C26" s="195" t="s">
        <v>237</v>
      </c>
      <c r="D26" s="347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</row>
    <row r="27" spans="1:246" s="20" customFormat="1" ht="12.6" customHeight="1">
      <c r="A27" s="51" t="s">
        <v>247</v>
      </c>
      <c r="B27" s="398">
        <f>2.995*E4</f>
        <v>2.9950000000000001</v>
      </c>
      <c r="C27" s="195" t="s">
        <v>237</v>
      </c>
      <c r="D27" s="347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</row>
    <row r="28" spans="1:246" s="20" customFormat="1" ht="12.6" customHeight="1">
      <c r="A28" s="51" t="s">
        <v>248</v>
      </c>
      <c r="B28" s="398">
        <f>2.316*E4</f>
        <v>2.3159999999999998</v>
      </c>
      <c r="C28" s="195" t="s">
        <v>237</v>
      </c>
      <c r="D28" s="347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</row>
    <row r="29" spans="1:246" s="20" customFormat="1" ht="38.25">
      <c r="A29" s="205" t="s">
        <v>240</v>
      </c>
      <c r="B29" s="206" t="s">
        <v>265</v>
      </c>
      <c r="C29" s="206" t="s">
        <v>266</v>
      </c>
      <c r="D29" s="206" t="s">
        <v>235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</row>
    <row r="30" spans="1:246" s="20" customFormat="1" ht="12.6" customHeight="1">
      <c r="A30" s="51" t="s">
        <v>244</v>
      </c>
      <c r="B30" s="398">
        <f>6.578*E2</f>
        <v>6.5780000000000003</v>
      </c>
      <c r="C30" s="196">
        <f>760*E3</f>
        <v>760</v>
      </c>
      <c r="D30" s="347">
        <f>C30/$E$34</f>
        <v>4.8531289910600253E-2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</row>
    <row r="31" spans="1:246" s="20" customFormat="1" ht="12.6" customHeight="1">
      <c r="A31" s="51" t="s">
        <v>245</v>
      </c>
      <c r="B31" s="398">
        <f>9.056*E2</f>
        <v>9.0559999999999992</v>
      </c>
      <c r="C31" s="196">
        <f>5300*E3</f>
        <v>5300</v>
      </c>
      <c r="D31" s="347">
        <f t="shared" ref="D31:D34" si="0">C31/$E$34</f>
        <v>0.3384418901660281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</row>
    <row r="32" spans="1:246" s="20" customFormat="1" ht="12.6" customHeight="1">
      <c r="A32" s="51" t="s">
        <v>246</v>
      </c>
      <c r="B32" s="398">
        <f>5.666*E2</f>
        <v>5.6660000000000004</v>
      </c>
      <c r="C32" s="196">
        <f>6000*E3</f>
        <v>6000</v>
      </c>
      <c r="D32" s="347">
        <f t="shared" si="0"/>
        <v>0.38314176245210729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</row>
    <row r="33" spans="1:233" s="20" customFormat="1" ht="12.6" customHeight="1">
      <c r="A33" s="51" t="s">
        <v>247</v>
      </c>
      <c r="B33" s="398">
        <f>4.09*E2</f>
        <v>4.09</v>
      </c>
      <c r="C33" s="196">
        <f>2200*E3</f>
        <v>2200</v>
      </c>
      <c r="D33" s="347">
        <f t="shared" si="0"/>
        <v>0.14048531289910601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</row>
    <row r="34" spans="1:233" s="20" customFormat="1" ht="12.6" customHeight="1">
      <c r="A34" s="51" t="s">
        <v>248</v>
      </c>
      <c r="B34" s="398">
        <f>2.857*E2</f>
        <v>2.8570000000000002</v>
      </c>
      <c r="C34" s="196">
        <f>1400*E3</f>
        <v>1400</v>
      </c>
      <c r="D34" s="347">
        <f t="shared" si="0"/>
        <v>8.9399744572158366E-2</v>
      </c>
      <c r="E34" s="379">
        <f>SUM(C30:C34)</f>
        <v>15660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</row>
    <row r="35" spans="1:233" s="20" customFormat="1" ht="12.6" customHeight="1">
      <c r="A35" s="386" t="s">
        <v>402</v>
      </c>
      <c r="B35" s="398">
        <f>0.4*E2</f>
        <v>0.4</v>
      </c>
      <c r="C35" s="387" t="s">
        <v>392</v>
      </c>
      <c r="D35" s="390">
        <v>1500</v>
      </c>
      <c r="E35" s="379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</row>
    <row r="36" spans="1:233" s="20" customFormat="1" ht="27" customHeight="1">
      <c r="A36" s="205" t="s">
        <v>236</v>
      </c>
      <c r="B36" s="205" t="s">
        <v>133</v>
      </c>
      <c r="C36" s="205" t="s">
        <v>130</v>
      </c>
      <c r="D36" s="206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</row>
    <row r="37" spans="1:233" s="20" customFormat="1" ht="12.6" customHeight="1">
      <c r="A37" s="41" t="s">
        <v>428</v>
      </c>
      <c r="B37" s="196">
        <v>3532.4630000000002</v>
      </c>
      <c r="C37" s="195" t="s">
        <v>237</v>
      </c>
      <c r="D37" s="196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</row>
    <row r="38" spans="1:233" s="20" customFormat="1" ht="12.6" customHeight="1">
      <c r="A38" s="41" t="s">
        <v>451</v>
      </c>
      <c r="B38" s="196">
        <v>19766.72611</v>
      </c>
      <c r="C38" s="195" t="s">
        <v>237</v>
      </c>
      <c r="D38" s="196" t="s">
        <v>452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</row>
    <row r="39" spans="1:233" s="20" customFormat="1" ht="12.6" customHeight="1">
      <c r="A39" s="404" t="s">
        <v>322</v>
      </c>
      <c r="B39" s="196">
        <v>349.44</v>
      </c>
      <c r="C39" s="195" t="s">
        <v>237</v>
      </c>
      <c r="D39" s="196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</row>
    <row r="40" spans="1:233" s="20" customFormat="1" ht="12.6" customHeight="1">
      <c r="A40" s="404" t="s">
        <v>323</v>
      </c>
      <c r="B40" s="196">
        <v>15809.441000000001</v>
      </c>
      <c r="C40" s="195" t="s">
        <v>237</v>
      </c>
      <c r="D40" s="196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</row>
    <row r="41" spans="1:233" s="20" customFormat="1" ht="12.6" customHeight="1">
      <c r="A41" s="404" t="s">
        <v>348</v>
      </c>
      <c r="B41" s="196">
        <v>10046</v>
      </c>
      <c r="C41" s="195" t="s">
        <v>237</v>
      </c>
      <c r="D41" s="19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</row>
    <row r="42" spans="1:233" s="20" customFormat="1" ht="12.6" customHeight="1">
      <c r="A42" s="353" t="s">
        <v>347</v>
      </c>
      <c r="B42" s="196">
        <v>15300.78</v>
      </c>
      <c r="C42" s="195" t="s">
        <v>237</v>
      </c>
      <c r="D42" s="196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</row>
    <row r="43" spans="1:233" s="20" customFormat="1" ht="12.6" customHeight="1">
      <c r="A43" s="404" t="s">
        <v>429</v>
      </c>
      <c r="B43" s="196">
        <v>26000</v>
      </c>
      <c r="C43" s="195" t="s">
        <v>237</v>
      </c>
      <c r="D43" s="196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</row>
    <row r="44" spans="1:233" s="20" customFormat="1" ht="12.6" customHeight="1">
      <c r="A44" s="404" t="s">
        <v>346</v>
      </c>
      <c r="B44" s="196">
        <v>395.28</v>
      </c>
      <c r="C44" s="195" t="s">
        <v>237</v>
      </c>
      <c r="D44" s="196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</row>
    <row r="45" spans="1:233" s="20" customFormat="1" ht="12.6" customHeight="1">
      <c r="A45" s="404" t="s">
        <v>424</v>
      </c>
      <c r="B45" s="196">
        <v>59166.150000000009</v>
      </c>
      <c r="C45" s="195" t="s">
        <v>237</v>
      </c>
      <c r="D45" s="196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</row>
    <row r="46" spans="1:233" s="20" customFormat="1" ht="12.6" customHeight="1">
      <c r="A46" s="404" t="s">
        <v>425</v>
      </c>
      <c r="B46" s="196">
        <v>45638.735266666699</v>
      </c>
      <c r="C46" s="195" t="s">
        <v>237</v>
      </c>
      <c r="D46" s="196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</row>
    <row r="47" spans="1:233" s="20" customFormat="1" ht="12.6" customHeight="1">
      <c r="A47" s="404" t="s">
        <v>426</v>
      </c>
      <c r="B47" s="196">
        <v>50202.608793333296</v>
      </c>
      <c r="C47" s="195" t="s">
        <v>237</v>
      </c>
      <c r="D47" s="196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</row>
    <row r="48" spans="1:233" s="20" customFormat="1" ht="12.6" customHeight="1">
      <c r="A48" s="404" t="s">
        <v>427</v>
      </c>
      <c r="B48" s="196">
        <v>55222.869672666697</v>
      </c>
      <c r="C48" s="195" t="s">
        <v>237</v>
      </c>
      <c r="D48" s="196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</row>
    <row r="49" spans="1:246" s="20" customFormat="1" ht="12.6" customHeight="1">
      <c r="A49" s="404" t="s">
        <v>197</v>
      </c>
      <c r="B49" s="196">
        <v>16387.16</v>
      </c>
      <c r="C49" s="195" t="s">
        <v>237</v>
      </c>
      <c r="D49" s="196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</row>
    <row r="50" spans="1:246" s="20" customFormat="1" ht="12.6" customHeight="1">
      <c r="A50" s="205" t="s">
        <v>108</v>
      </c>
      <c r="B50" s="205" t="s">
        <v>133</v>
      </c>
      <c r="C50" s="205" t="s">
        <v>130</v>
      </c>
      <c r="D50" s="206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</row>
    <row r="51" spans="1:246" s="20" customFormat="1" ht="12.6" customHeight="1">
      <c r="A51" s="194" t="s">
        <v>350</v>
      </c>
      <c r="B51" s="196">
        <v>6000</v>
      </c>
      <c r="C51" s="195" t="s">
        <v>237</v>
      </c>
      <c r="D51" s="196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</row>
    <row r="52" spans="1:246" s="20" customFormat="1" ht="12.6" customHeight="1">
      <c r="A52" s="194" t="s">
        <v>351</v>
      </c>
      <c r="B52" s="196">
        <v>3000</v>
      </c>
      <c r="C52" s="195" t="s">
        <v>237</v>
      </c>
      <c r="D52" s="196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</row>
    <row r="53" spans="1:246" s="20" customFormat="1" ht="12.6" customHeight="1">
      <c r="A53" s="194" t="s">
        <v>352</v>
      </c>
      <c r="B53" s="196">
        <v>15000</v>
      </c>
      <c r="C53" s="195" t="s">
        <v>237</v>
      </c>
      <c r="D53" s="196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</row>
    <row r="54" spans="1:246" s="20" customFormat="1" ht="12.6" customHeight="1">
      <c r="A54" s="194" t="s">
        <v>353</v>
      </c>
      <c r="B54" s="196">
        <v>10000</v>
      </c>
      <c r="C54" s="195" t="s">
        <v>237</v>
      </c>
      <c r="D54" s="196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</row>
    <row r="55" spans="1:246" s="20" customFormat="1" ht="22.5" customHeight="1">
      <c r="A55" s="205" t="s">
        <v>204</v>
      </c>
      <c r="B55" s="205" t="s">
        <v>133</v>
      </c>
      <c r="C55" s="205" t="s">
        <v>130</v>
      </c>
      <c r="D55" s="205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0" customFormat="1" ht="12" customHeight="1">
      <c r="A56" s="194" t="s">
        <v>267</v>
      </c>
      <c r="B56" s="196">
        <f>100*E5</f>
        <v>100</v>
      </c>
      <c r="C56" s="195" t="s">
        <v>208</v>
      </c>
      <c r="D56" s="196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</row>
    <row r="57" spans="1:246" s="20" customFormat="1" ht="12" customHeight="1">
      <c r="A57" s="194" t="s">
        <v>268</v>
      </c>
      <c r="B57" s="196">
        <f>8000*E5</f>
        <v>8000</v>
      </c>
      <c r="C57" s="195" t="s">
        <v>208</v>
      </c>
      <c r="D57" s="196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</row>
    <row r="58" spans="1:246" s="20" customFormat="1" ht="12.6" customHeight="1">
      <c r="A58" s="41" t="s">
        <v>269</v>
      </c>
      <c r="B58" s="196">
        <f>20*E5</f>
        <v>20</v>
      </c>
      <c r="C58" s="195" t="s">
        <v>208</v>
      </c>
      <c r="D58" s="196"/>
      <c r="E58" s="9"/>
      <c r="F58" s="9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7"/>
      <c r="BM58" s="227"/>
      <c r="BN58" s="227"/>
      <c r="BO58" s="227"/>
      <c r="BP58" s="227"/>
      <c r="BQ58" s="227"/>
      <c r="BR58" s="227"/>
      <c r="BS58" s="227"/>
      <c r="BT58" s="227"/>
      <c r="BU58" s="227"/>
      <c r="BV58" s="227"/>
      <c r="BW58" s="227"/>
      <c r="BX58" s="227"/>
      <c r="BY58" s="227"/>
      <c r="BZ58" s="227"/>
      <c r="CA58" s="227"/>
      <c r="CB58" s="227"/>
      <c r="CC58" s="227"/>
      <c r="CD58" s="227"/>
      <c r="CE58" s="227"/>
      <c r="CF58" s="227"/>
      <c r="CG58" s="227"/>
      <c r="CH58" s="227"/>
      <c r="CI58" s="227"/>
      <c r="CJ58" s="227"/>
      <c r="CK58" s="227"/>
      <c r="CL58" s="227"/>
      <c r="CM58" s="227"/>
      <c r="CN58" s="227"/>
      <c r="CO58" s="227"/>
      <c r="CP58" s="227"/>
      <c r="CQ58" s="227"/>
      <c r="CR58" s="227"/>
      <c r="CS58" s="227"/>
      <c r="CT58" s="227"/>
      <c r="CU58" s="227"/>
      <c r="CV58" s="227"/>
      <c r="CW58" s="227"/>
      <c r="CX58" s="227"/>
      <c r="CY58" s="227"/>
      <c r="CZ58" s="227"/>
      <c r="DA58" s="227"/>
      <c r="DB58" s="227"/>
      <c r="DC58" s="227"/>
      <c r="DD58" s="227"/>
      <c r="DE58" s="227"/>
      <c r="DF58" s="227"/>
      <c r="DG58" s="227"/>
      <c r="DH58" s="227"/>
      <c r="DI58" s="227"/>
      <c r="DJ58" s="227"/>
      <c r="DK58" s="227"/>
      <c r="DL58" s="227"/>
      <c r="DM58" s="227"/>
      <c r="DN58" s="227"/>
      <c r="DO58" s="227"/>
      <c r="DP58" s="227"/>
      <c r="DQ58" s="227"/>
      <c r="DR58" s="227"/>
      <c r="DS58" s="227"/>
      <c r="DT58" s="227"/>
      <c r="DU58" s="227"/>
      <c r="DV58" s="227"/>
      <c r="DW58" s="227"/>
      <c r="DX58" s="227"/>
      <c r="DY58" s="227"/>
      <c r="DZ58" s="227"/>
      <c r="EA58" s="227"/>
      <c r="EB58" s="227"/>
      <c r="EC58" s="227"/>
      <c r="ED58" s="227"/>
      <c r="EE58" s="227"/>
      <c r="EF58" s="227"/>
      <c r="EG58" s="227"/>
      <c r="EH58" s="227"/>
      <c r="EI58" s="227"/>
      <c r="EJ58" s="227"/>
      <c r="EK58" s="227"/>
      <c r="EL58" s="227"/>
      <c r="EM58" s="227"/>
      <c r="EN58" s="227"/>
      <c r="EO58" s="227"/>
      <c r="EP58" s="227"/>
      <c r="EQ58" s="227"/>
      <c r="ER58" s="227"/>
      <c r="ES58" s="227"/>
      <c r="ET58" s="227"/>
      <c r="EU58" s="227"/>
      <c r="EV58" s="227"/>
      <c r="EW58" s="227"/>
      <c r="EX58" s="227"/>
      <c r="EY58" s="227"/>
      <c r="EZ58" s="227"/>
      <c r="FA58" s="227"/>
      <c r="FB58" s="227"/>
      <c r="FC58" s="227"/>
      <c r="FD58" s="227"/>
      <c r="FE58" s="227"/>
      <c r="FF58" s="227"/>
      <c r="FG58" s="227"/>
      <c r="FH58" s="227"/>
      <c r="FI58" s="227"/>
      <c r="FJ58" s="227"/>
      <c r="FK58" s="227"/>
      <c r="FL58" s="227"/>
      <c r="FM58" s="227"/>
      <c r="FN58" s="227"/>
      <c r="FO58" s="227"/>
      <c r="FP58" s="227"/>
      <c r="FQ58" s="227"/>
      <c r="FR58" s="227"/>
      <c r="FS58" s="227"/>
      <c r="FT58" s="227"/>
      <c r="FU58" s="227"/>
      <c r="FV58" s="227"/>
      <c r="FW58" s="227"/>
      <c r="FX58" s="227"/>
      <c r="FY58" s="227"/>
      <c r="FZ58" s="227"/>
      <c r="GA58" s="227"/>
      <c r="GB58" s="227"/>
      <c r="GC58" s="227"/>
      <c r="GD58" s="227"/>
      <c r="GE58" s="227"/>
      <c r="GF58" s="227"/>
      <c r="GG58" s="227"/>
      <c r="GH58" s="227"/>
      <c r="GI58" s="227"/>
      <c r="GJ58" s="227"/>
      <c r="GK58" s="227"/>
      <c r="GL58" s="227"/>
      <c r="GM58" s="227"/>
      <c r="GN58" s="227"/>
      <c r="GO58" s="227"/>
      <c r="GP58" s="227"/>
      <c r="GQ58" s="227"/>
      <c r="GR58" s="227"/>
      <c r="GS58" s="227"/>
      <c r="GT58" s="227"/>
      <c r="GU58" s="227"/>
      <c r="GV58" s="227"/>
      <c r="GW58" s="227"/>
      <c r="GX58" s="227"/>
      <c r="GY58" s="227"/>
      <c r="GZ58" s="227"/>
      <c r="HA58" s="227"/>
      <c r="HB58" s="227"/>
      <c r="HC58" s="227"/>
      <c r="HD58" s="227"/>
      <c r="HE58" s="227"/>
      <c r="HF58" s="227"/>
      <c r="HG58" s="227"/>
      <c r="HH58" s="227"/>
      <c r="HI58" s="227"/>
      <c r="HJ58" s="227"/>
      <c r="HK58" s="227"/>
      <c r="HL58" s="227"/>
      <c r="HM58" s="227"/>
      <c r="HN58" s="227"/>
      <c r="HO58" s="227"/>
      <c r="HP58" s="227"/>
      <c r="HQ58" s="227"/>
      <c r="HR58" s="227"/>
      <c r="HS58" s="227"/>
      <c r="HT58" s="227"/>
      <c r="HU58" s="227"/>
      <c r="HV58" s="227"/>
      <c r="HW58" s="227"/>
      <c r="HX58" s="227"/>
      <c r="HY58" s="227"/>
      <c r="HZ58" s="227"/>
      <c r="IA58" s="227"/>
      <c r="IB58" s="227"/>
      <c r="IC58" s="227"/>
      <c r="ID58" s="227"/>
      <c r="IE58" s="227"/>
      <c r="IF58" s="227"/>
      <c r="IG58" s="227"/>
      <c r="IH58" s="227"/>
      <c r="II58" s="227"/>
      <c r="IJ58" s="227"/>
      <c r="IK58" s="227"/>
      <c r="IL58" s="227"/>
    </row>
    <row r="59" spans="1:246" s="20" customFormat="1" ht="12.6" customHeight="1">
      <c r="A59" s="41" t="s">
        <v>270</v>
      </c>
      <c r="B59" s="196">
        <f>100*E5</f>
        <v>100</v>
      </c>
      <c r="C59" s="195" t="s">
        <v>208</v>
      </c>
      <c r="D59" s="196"/>
      <c r="E59" s="9"/>
      <c r="F59" s="9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7"/>
      <c r="BM59" s="227"/>
      <c r="BN59" s="227"/>
      <c r="BO59" s="227"/>
      <c r="BP59" s="227"/>
      <c r="BQ59" s="227"/>
      <c r="BR59" s="227"/>
      <c r="BS59" s="227"/>
      <c r="BT59" s="227"/>
      <c r="BU59" s="227"/>
      <c r="BV59" s="227"/>
      <c r="BW59" s="227"/>
      <c r="BX59" s="227"/>
      <c r="BY59" s="227"/>
      <c r="BZ59" s="227"/>
      <c r="CA59" s="227"/>
      <c r="CB59" s="227"/>
      <c r="CC59" s="227"/>
      <c r="CD59" s="227"/>
      <c r="CE59" s="227"/>
      <c r="CF59" s="227"/>
      <c r="CG59" s="227"/>
      <c r="CH59" s="227"/>
      <c r="CI59" s="227"/>
      <c r="CJ59" s="227"/>
      <c r="CK59" s="227"/>
      <c r="CL59" s="227"/>
      <c r="CM59" s="227"/>
      <c r="CN59" s="227"/>
      <c r="CO59" s="227"/>
      <c r="CP59" s="227"/>
      <c r="CQ59" s="227"/>
      <c r="CR59" s="227"/>
      <c r="CS59" s="227"/>
      <c r="CT59" s="227"/>
      <c r="CU59" s="227"/>
      <c r="CV59" s="227"/>
      <c r="CW59" s="227"/>
      <c r="CX59" s="227"/>
      <c r="CY59" s="227"/>
      <c r="CZ59" s="227"/>
      <c r="DA59" s="227"/>
      <c r="DB59" s="227"/>
      <c r="DC59" s="227"/>
      <c r="DD59" s="227"/>
      <c r="DE59" s="227"/>
      <c r="DF59" s="227"/>
      <c r="DG59" s="227"/>
      <c r="DH59" s="227"/>
      <c r="DI59" s="227"/>
      <c r="DJ59" s="227"/>
      <c r="DK59" s="227"/>
      <c r="DL59" s="227"/>
      <c r="DM59" s="227"/>
      <c r="DN59" s="227"/>
      <c r="DO59" s="227"/>
      <c r="DP59" s="227"/>
      <c r="DQ59" s="227"/>
      <c r="DR59" s="227"/>
      <c r="DS59" s="227"/>
      <c r="DT59" s="227"/>
      <c r="DU59" s="227"/>
      <c r="DV59" s="227"/>
      <c r="DW59" s="227"/>
      <c r="DX59" s="227"/>
      <c r="DY59" s="227"/>
      <c r="DZ59" s="227"/>
      <c r="EA59" s="227"/>
      <c r="EB59" s="227"/>
      <c r="EC59" s="227"/>
      <c r="ED59" s="227"/>
      <c r="EE59" s="227"/>
      <c r="EF59" s="227"/>
      <c r="EG59" s="227"/>
      <c r="EH59" s="227"/>
      <c r="EI59" s="227"/>
      <c r="EJ59" s="227"/>
      <c r="EK59" s="227"/>
      <c r="EL59" s="227"/>
      <c r="EM59" s="227"/>
      <c r="EN59" s="227"/>
      <c r="EO59" s="227"/>
      <c r="EP59" s="227"/>
      <c r="EQ59" s="227"/>
      <c r="ER59" s="227"/>
      <c r="ES59" s="227"/>
      <c r="ET59" s="227"/>
      <c r="EU59" s="227"/>
      <c r="EV59" s="227"/>
      <c r="EW59" s="227"/>
      <c r="EX59" s="227"/>
      <c r="EY59" s="227"/>
      <c r="EZ59" s="227"/>
      <c r="FA59" s="227"/>
      <c r="FB59" s="227"/>
      <c r="FC59" s="227"/>
      <c r="FD59" s="227"/>
      <c r="FE59" s="227"/>
      <c r="FF59" s="227"/>
      <c r="FG59" s="227"/>
      <c r="FH59" s="227"/>
      <c r="FI59" s="227"/>
      <c r="FJ59" s="227"/>
      <c r="FK59" s="227"/>
      <c r="FL59" s="227"/>
      <c r="FM59" s="227"/>
      <c r="FN59" s="227"/>
      <c r="FO59" s="227"/>
      <c r="FP59" s="227"/>
      <c r="FQ59" s="227"/>
      <c r="FR59" s="227"/>
      <c r="FS59" s="227"/>
      <c r="FT59" s="227"/>
      <c r="FU59" s="227"/>
      <c r="FV59" s="227"/>
      <c r="FW59" s="227"/>
      <c r="FX59" s="227"/>
      <c r="FY59" s="227"/>
      <c r="FZ59" s="227"/>
      <c r="GA59" s="227"/>
      <c r="GB59" s="227"/>
      <c r="GC59" s="227"/>
      <c r="GD59" s="227"/>
      <c r="GE59" s="227"/>
      <c r="GF59" s="227"/>
      <c r="GG59" s="227"/>
      <c r="GH59" s="227"/>
      <c r="GI59" s="227"/>
      <c r="GJ59" s="227"/>
      <c r="GK59" s="227"/>
      <c r="GL59" s="227"/>
      <c r="GM59" s="227"/>
      <c r="GN59" s="227"/>
      <c r="GO59" s="227"/>
      <c r="GP59" s="227"/>
      <c r="GQ59" s="227"/>
      <c r="GR59" s="227"/>
      <c r="GS59" s="227"/>
      <c r="GT59" s="227"/>
      <c r="GU59" s="227"/>
      <c r="GV59" s="227"/>
      <c r="GW59" s="227"/>
      <c r="GX59" s="227"/>
      <c r="GY59" s="227"/>
      <c r="GZ59" s="227"/>
      <c r="HA59" s="227"/>
      <c r="HB59" s="227"/>
      <c r="HC59" s="227"/>
      <c r="HD59" s="227"/>
      <c r="HE59" s="227"/>
      <c r="HF59" s="227"/>
      <c r="HG59" s="227"/>
      <c r="HH59" s="227"/>
      <c r="HI59" s="227"/>
      <c r="HJ59" s="227"/>
      <c r="HK59" s="227"/>
      <c r="HL59" s="227"/>
      <c r="HM59" s="227"/>
      <c r="HN59" s="227"/>
      <c r="HO59" s="227"/>
      <c r="HP59" s="227"/>
      <c r="HQ59" s="227"/>
      <c r="HR59" s="227"/>
      <c r="HS59" s="227"/>
      <c r="HT59" s="227"/>
      <c r="HU59" s="227"/>
      <c r="HV59" s="227"/>
      <c r="HW59" s="227"/>
      <c r="HX59" s="227"/>
      <c r="HY59" s="227"/>
      <c r="HZ59" s="227"/>
      <c r="IA59" s="227"/>
      <c r="IB59" s="227"/>
      <c r="IC59" s="227"/>
      <c r="ID59" s="227"/>
      <c r="IE59" s="227"/>
      <c r="IF59" s="227"/>
      <c r="IG59" s="227"/>
      <c r="IH59" s="227"/>
      <c r="II59" s="227"/>
      <c r="IJ59" s="227"/>
      <c r="IK59" s="227"/>
      <c r="IL59" s="227"/>
    </row>
    <row r="60" spans="1:246" s="355" customFormat="1" ht="12.6" customHeight="1">
      <c r="A60" s="102" t="s">
        <v>271</v>
      </c>
      <c r="B60" s="196">
        <f>15*E5</f>
        <v>15</v>
      </c>
      <c r="C60" s="354" t="s">
        <v>208</v>
      </c>
      <c r="D60" s="196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7"/>
      <c r="AU60" s="357"/>
      <c r="AV60" s="357"/>
      <c r="AW60" s="357"/>
      <c r="AX60" s="357"/>
      <c r="AY60" s="357"/>
      <c r="AZ60" s="357"/>
      <c r="BA60" s="357"/>
      <c r="BB60" s="357"/>
      <c r="BC60" s="357"/>
      <c r="BD60" s="357"/>
      <c r="BE60" s="357"/>
      <c r="BF60" s="357"/>
      <c r="BG60" s="357"/>
      <c r="BH60" s="357"/>
      <c r="BI60" s="357"/>
      <c r="BJ60" s="357"/>
      <c r="BK60" s="357"/>
      <c r="BL60" s="357"/>
      <c r="BM60" s="357"/>
      <c r="BN60" s="357"/>
      <c r="BO60" s="357"/>
      <c r="BP60" s="357"/>
      <c r="BQ60" s="357"/>
      <c r="BR60" s="357"/>
      <c r="BS60" s="357"/>
      <c r="BT60" s="357"/>
      <c r="BU60" s="357"/>
      <c r="BV60" s="357"/>
      <c r="BW60" s="357"/>
      <c r="BX60" s="357"/>
      <c r="BY60" s="357"/>
      <c r="BZ60" s="357"/>
      <c r="CA60" s="357"/>
      <c r="CB60" s="357"/>
      <c r="CC60" s="357"/>
      <c r="CD60" s="357"/>
      <c r="CE60" s="357"/>
      <c r="CF60" s="357"/>
      <c r="CG60" s="357"/>
      <c r="CH60" s="357"/>
      <c r="CI60" s="357"/>
      <c r="CJ60" s="357"/>
      <c r="CK60" s="357"/>
      <c r="CL60" s="357"/>
      <c r="CM60" s="357"/>
      <c r="CN60" s="357"/>
      <c r="CO60" s="357"/>
      <c r="CP60" s="357"/>
      <c r="CQ60" s="357"/>
      <c r="CR60" s="357"/>
      <c r="CS60" s="357"/>
      <c r="CT60" s="357"/>
      <c r="CU60" s="357"/>
      <c r="CV60" s="357"/>
      <c r="CW60" s="357"/>
      <c r="CX60" s="357"/>
      <c r="CY60" s="357"/>
      <c r="CZ60" s="357"/>
      <c r="DA60" s="357"/>
      <c r="DB60" s="357"/>
      <c r="DC60" s="357"/>
      <c r="DD60" s="357"/>
      <c r="DE60" s="357"/>
      <c r="DF60" s="357"/>
      <c r="DG60" s="357"/>
      <c r="DH60" s="357"/>
      <c r="DI60" s="357"/>
      <c r="DJ60" s="357"/>
      <c r="DK60" s="357"/>
      <c r="DL60" s="357"/>
      <c r="DM60" s="357"/>
      <c r="DN60" s="357"/>
      <c r="DO60" s="357"/>
      <c r="DP60" s="357"/>
      <c r="DQ60" s="357"/>
      <c r="DR60" s="357"/>
      <c r="DS60" s="357"/>
      <c r="DT60" s="357"/>
      <c r="DU60" s="357"/>
      <c r="DV60" s="357"/>
      <c r="DW60" s="357"/>
      <c r="DX60" s="357"/>
      <c r="DY60" s="357"/>
      <c r="DZ60" s="357"/>
      <c r="EA60" s="357"/>
      <c r="EB60" s="357"/>
      <c r="EC60" s="357"/>
      <c r="ED60" s="357"/>
      <c r="EE60" s="357"/>
      <c r="EF60" s="357"/>
      <c r="EG60" s="357"/>
      <c r="EH60" s="357"/>
      <c r="EI60" s="357"/>
      <c r="EJ60" s="357"/>
      <c r="EK60" s="357"/>
      <c r="EL60" s="357"/>
      <c r="EM60" s="357"/>
      <c r="EN60" s="357"/>
      <c r="EO60" s="357"/>
      <c r="EP60" s="357"/>
      <c r="EQ60" s="357"/>
      <c r="ER60" s="357"/>
      <c r="ES60" s="357"/>
      <c r="ET60" s="357"/>
      <c r="EU60" s="357"/>
      <c r="EV60" s="357"/>
      <c r="EW60" s="357"/>
      <c r="EX60" s="357"/>
      <c r="EY60" s="357"/>
      <c r="EZ60" s="357"/>
      <c r="FA60" s="357"/>
      <c r="FB60" s="357"/>
      <c r="FC60" s="357"/>
      <c r="FD60" s="357"/>
      <c r="FE60" s="357"/>
      <c r="FF60" s="357"/>
      <c r="FG60" s="357"/>
      <c r="FH60" s="357"/>
      <c r="FI60" s="357"/>
      <c r="FJ60" s="357"/>
      <c r="FK60" s="357"/>
      <c r="FL60" s="357"/>
      <c r="FM60" s="357"/>
      <c r="FN60" s="357"/>
      <c r="FO60" s="357"/>
      <c r="FP60" s="357"/>
      <c r="FQ60" s="357"/>
      <c r="FR60" s="357"/>
      <c r="FS60" s="357"/>
      <c r="FT60" s="357"/>
      <c r="FU60" s="357"/>
      <c r="FV60" s="357"/>
      <c r="FW60" s="357"/>
      <c r="FX60" s="357"/>
      <c r="FY60" s="357"/>
      <c r="FZ60" s="357"/>
      <c r="GA60" s="357"/>
      <c r="GB60" s="357"/>
      <c r="GC60" s="357"/>
      <c r="GD60" s="357"/>
      <c r="GE60" s="357"/>
      <c r="GF60" s="357"/>
      <c r="GG60" s="357"/>
      <c r="GH60" s="357"/>
      <c r="GI60" s="357"/>
      <c r="GJ60" s="357"/>
      <c r="GK60" s="357"/>
      <c r="GL60" s="357"/>
      <c r="GM60" s="357"/>
      <c r="GN60" s="357"/>
      <c r="GO60" s="357"/>
      <c r="GP60" s="357"/>
      <c r="GQ60" s="357"/>
      <c r="GR60" s="357"/>
      <c r="GS60" s="357"/>
      <c r="GT60" s="357"/>
      <c r="GU60" s="357"/>
      <c r="GV60" s="357"/>
      <c r="GW60" s="357"/>
      <c r="GX60" s="357"/>
      <c r="GY60" s="357"/>
      <c r="GZ60" s="357"/>
      <c r="HA60" s="357"/>
      <c r="HB60" s="357"/>
      <c r="HC60" s="357"/>
      <c r="HD60" s="357"/>
      <c r="HE60" s="357"/>
      <c r="HF60" s="357"/>
      <c r="HG60" s="357"/>
      <c r="HH60" s="357"/>
      <c r="HI60" s="357"/>
      <c r="HJ60" s="357"/>
      <c r="HK60" s="357"/>
      <c r="HL60" s="357"/>
      <c r="HM60" s="357"/>
      <c r="HN60" s="357"/>
      <c r="HO60" s="357"/>
      <c r="HP60" s="357"/>
      <c r="HQ60" s="357"/>
      <c r="HR60" s="357"/>
      <c r="HS60" s="357"/>
      <c r="HT60" s="357"/>
      <c r="HU60" s="357"/>
      <c r="HV60" s="357"/>
      <c r="HW60" s="357"/>
      <c r="HX60" s="357"/>
      <c r="HY60" s="357"/>
      <c r="HZ60" s="357"/>
      <c r="IA60" s="357"/>
      <c r="IB60" s="357"/>
      <c r="IC60" s="357"/>
      <c r="ID60" s="357"/>
      <c r="IE60" s="357"/>
      <c r="IF60" s="357"/>
      <c r="IG60" s="357"/>
      <c r="IH60" s="357"/>
      <c r="II60" s="357"/>
      <c r="IJ60" s="357"/>
      <c r="IK60" s="357"/>
      <c r="IL60" s="357"/>
    </row>
    <row r="61" spans="1:246" s="20" customFormat="1" ht="12.6" customHeight="1">
      <c r="A61" s="348" t="s">
        <v>272</v>
      </c>
      <c r="B61" s="333">
        <f>150*E5</f>
        <v>150</v>
      </c>
      <c r="C61" s="195" t="s">
        <v>208</v>
      </c>
      <c r="D61" s="196"/>
      <c r="E61" s="9"/>
      <c r="F61" s="9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227"/>
      <c r="BN61" s="227"/>
      <c r="BO61" s="227"/>
      <c r="BP61" s="227"/>
      <c r="BQ61" s="227"/>
      <c r="BR61" s="227"/>
      <c r="BS61" s="227"/>
      <c r="BT61" s="227"/>
      <c r="BU61" s="227"/>
      <c r="BV61" s="227"/>
      <c r="BW61" s="227"/>
      <c r="BX61" s="227"/>
      <c r="BY61" s="227"/>
      <c r="BZ61" s="227"/>
      <c r="CA61" s="227"/>
      <c r="CB61" s="227"/>
      <c r="CC61" s="227"/>
      <c r="CD61" s="227"/>
      <c r="CE61" s="227"/>
      <c r="CF61" s="227"/>
      <c r="CG61" s="227"/>
      <c r="CH61" s="227"/>
      <c r="CI61" s="227"/>
      <c r="CJ61" s="227"/>
      <c r="CK61" s="227"/>
      <c r="CL61" s="227"/>
      <c r="CM61" s="227"/>
      <c r="CN61" s="227"/>
      <c r="CO61" s="227"/>
      <c r="CP61" s="227"/>
      <c r="CQ61" s="227"/>
      <c r="CR61" s="227"/>
      <c r="CS61" s="227"/>
      <c r="CT61" s="227"/>
      <c r="CU61" s="227"/>
      <c r="CV61" s="227"/>
      <c r="CW61" s="227"/>
      <c r="CX61" s="227"/>
      <c r="CY61" s="227"/>
      <c r="CZ61" s="227"/>
      <c r="DA61" s="227"/>
      <c r="DB61" s="227"/>
      <c r="DC61" s="227"/>
      <c r="DD61" s="227"/>
      <c r="DE61" s="227"/>
      <c r="DF61" s="227"/>
      <c r="DG61" s="227"/>
      <c r="DH61" s="227"/>
      <c r="DI61" s="227"/>
      <c r="DJ61" s="227"/>
      <c r="DK61" s="227"/>
      <c r="DL61" s="227"/>
      <c r="DM61" s="227"/>
      <c r="DN61" s="227"/>
      <c r="DO61" s="227"/>
      <c r="DP61" s="227"/>
      <c r="DQ61" s="227"/>
      <c r="DR61" s="227"/>
      <c r="DS61" s="227"/>
      <c r="DT61" s="227"/>
      <c r="DU61" s="227"/>
      <c r="DV61" s="227"/>
      <c r="DW61" s="227"/>
      <c r="DX61" s="227"/>
      <c r="DY61" s="227"/>
      <c r="DZ61" s="227"/>
      <c r="EA61" s="227"/>
      <c r="EB61" s="227"/>
      <c r="EC61" s="227"/>
      <c r="ED61" s="227"/>
      <c r="EE61" s="227"/>
      <c r="EF61" s="227"/>
      <c r="EG61" s="227"/>
      <c r="EH61" s="227"/>
      <c r="EI61" s="227"/>
      <c r="EJ61" s="227"/>
      <c r="EK61" s="227"/>
      <c r="EL61" s="227"/>
      <c r="EM61" s="227"/>
      <c r="EN61" s="227"/>
      <c r="EO61" s="227"/>
      <c r="EP61" s="227"/>
      <c r="EQ61" s="227"/>
      <c r="ER61" s="227"/>
      <c r="ES61" s="227"/>
      <c r="ET61" s="227"/>
      <c r="EU61" s="227"/>
      <c r="EV61" s="227"/>
      <c r="EW61" s="227"/>
      <c r="EX61" s="227"/>
      <c r="EY61" s="227"/>
      <c r="EZ61" s="227"/>
      <c r="FA61" s="227"/>
      <c r="FB61" s="227"/>
      <c r="FC61" s="227"/>
      <c r="FD61" s="227"/>
      <c r="FE61" s="227"/>
      <c r="FF61" s="227"/>
      <c r="FG61" s="227"/>
      <c r="FH61" s="227"/>
      <c r="FI61" s="227"/>
      <c r="FJ61" s="227"/>
      <c r="FK61" s="227"/>
      <c r="FL61" s="227"/>
      <c r="FM61" s="227"/>
      <c r="FN61" s="227"/>
      <c r="FO61" s="227"/>
      <c r="FP61" s="227"/>
      <c r="FQ61" s="227"/>
      <c r="FR61" s="227"/>
      <c r="FS61" s="227"/>
      <c r="FT61" s="227"/>
      <c r="FU61" s="227"/>
      <c r="FV61" s="227"/>
      <c r="FW61" s="227"/>
      <c r="FX61" s="227"/>
      <c r="FY61" s="227"/>
      <c r="FZ61" s="227"/>
      <c r="GA61" s="227"/>
      <c r="GB61" s="227"/>
      <c r="GC61" s="227"/>
      <c r="GD61" s="227"/>
      <c r="GE61" s="227"/>
      <c r="GF61" s="227"/>
      <c r="GG61" s="227"/>
      <c r="GH61" s="227"/>
      <c r="GI61" s="227"/>
      <c r="GJ61" s="227"/>
      <c r="GK61" s="227"/>
      <c r="GL61" s="227"/>
      <c r="GM61" s="227"/>
      <c r="GN61" s="227"/>
      <c r="GO61" s="227"/>
      <c r="GP61" s="227"/>
      <c r="GQ61" s="227"/>
      <c r="GR61" s="227"/>
      <c r="GS61" s="227"/>
      <c r="GT61" s="227"/>
      <c r="GU61" s="227"/>
      <c r="GV61" s="227"/>
      <c r="GW61" s="227"/>
      <c r="GX61" s="227"/>
      <c r="GY61" s="227"/>
      <c r="GZ61" s="227"/>
      <c r="HA61" s="227"/>
      <c r="HB61" s="227"/>
      <c r="HC61" s="227"/>
      <c r="HD61" s="227"/>
      <c r="HE61" s="227"/>
      <c r="HF61" s="227"/>
      <c r="HG61" s="227"/>
      <c r="HH61" s="227"/>
      <c r="HI61" s="227"/>
      <c r="HJ61" s="227"/>
      <c r="HK61" s="227"/>
      <c r="HL61" s="227"/>
      <c r="HM61" s="227"/>
      <c r="HN61" s="227"/>
      <c r="HO61" s="227"/>
      <c r="HP61" s="227"/>
      <c r="HQ61" s="227"/>
      <c r="HR61" s="227"/>
      <c r="HS61" s="227"/>
      <c r="HT61" s="227"/>
      <c r="HU61" s="227"/>
      <c r="HV61" s="227"/>
      <c r="HW61" s="227"/>
      <c r="HX61" s="227"/>
      <c r="HY61" s="227"/>
      <c r="HZ61" s="227"/>
      <c r="IA61" s="227"/>
      <c r="IB61" s="227"/>
      <c r="IC61" s="227"/>
      <c r="ID61" s="227"/>
      <c r="IE61" s="227"/>
      <c r="IF61" s="227"/>
      <c r="IG61" s="227"/>
      <c r="IH61" s="227"/>
      <c r="II61" s="227"/>
      <c r="IJ61" s="227"/>
      <c r="IK61" s="227"/>
      <c r="IL61" s="227"/>
    </row>
    <row r="62" spans="1:246" s="20" customFormat="1" ht="12.6" customHeight="1">
      <c r="A62" s="349" t="s">
        <v>404</v>
      </c>
      <c r="B62" s="196">
        <f>115*E5</f>
        <v>115</v>
      </c>
      <c r="C62" s="195" t="s">
        <v>208</v>
      </c>
      <c r="D62" s="196"/>
      <c r="E62" s="9"/>
      <c r="F62" s="9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7"/>
      <c r="CB62" s="227"/>
      <c r="CC62" s="227"/>
      <c r="CD62" s="227"/>
      <c r="CE62" s="227"/>
      <c r="CF62" s="227"/>
      <c r="CG62" s="227"/>
      <c r="CH62" s="227"/>
      <c r="CI62" s="227"/>
      <c r="CJ62" s="227"/>
      <c r="CK62" s="227"/>
      <c r="CL62" s="227"/>
      <c r="CM62" s="227"/>
      <c r="CN62" s="227"/>
      <c r="CO62" s="227"/>
      <c r="CP62" s="227"/>
      <c r="CQ62" s="227"/>
      <c r="CR62" s="227"/>
      <c r="CS62" s="227"/>
      <c r="CT62" s="227"/>
      <c r="CU62" s="227"/>
      <c r="CV62" s="227"/>
      <c r="CW62" s="227"/>
      <c r="CX62" s="227"/>
      <c r="CY62" s="227"/>
      <c r="CZ62" s="227"/>
      <c r="DA62" s="227"/>
      <c r="DB62" s="227"/>
      <c r="DC62" s="227"/>
      <c r="DD62" s="227"/>
      <c r="DE62" s="227"/>
      <c r="DF62" s="227"/>
      <c r="DG62" s="227"/>
      <c r="DH62" s="227"/>
      <c r="DI62" s="227"/>
      <c r="DJ62" s="227"/>
      <c r="DK62" s="227"/>
      <c r="DL62" s="227"/>
      <c r="DM62" s="227"/>
      <c r="DN62" s="227"/>
      <c r="DO62" s="227"/>
      <c r="DP62" s="227"/>
      <c r="DQ62" s="227"/>
      <c r="DR62" s="227"/>
      <c r="DS62" s="227"/>
      <c r="DT62" s="227"/>
      <c r="DU62" s="227"/>
      <c r="DV62" s="227"/>
      <c r="DW62" s="227"/>
      <c r="DX62" s="227"/>
      <c r="DY62" s="227"/>
      <c r="DZ62" s="227"/>
      <c r="EA62" s="227"/>
      <c r="EB62" s="227"/>
      <c r="EC62" s="227"/>
      <c r="ED62" s="227"/>
      <c r="EE62" s="227"/>
      <c r="EF62" s="227"/>
      <c r="EG62" s="227"/>
      <c r="EH62" s="227"/>
      <c r="EI62" s="227"/>
      <c r="EJ62" s="227"/>
      <c r="EK62" s="227"/>
      <c r="EL62" s="227"/>
      <c r="EM62" s="227"/>
      <c r="EN62" s="227"/>
      <c r="EO62" s="227"/>
      <c r="EP62" s="227"/>
      <c r="EQ62" s="227"/>
      <c r="ER62" s="227"/>
      <c r="ES62" s="227"/>
      <c r="ET62" s="227"/>
      <c r="EU62" s="227"/>
      <c r="EV62" s="227"/>
      <c r="EW62" s="227"/>
      <c r="EX62" s="227"/>
      <c r="EY62" s="227"/>
      <c r="EZ62" s="227"/>
      <c r="FA62" s="227"/>
      <c r="FB62" s="227"/>
      <c r="FC62" s="227"/>
      <c r="FD62" s="227"/>
      <c r="FE62" s="227"/>
      <c r="FF62" s="227"/>
      <c r="FG62" s="227"/>
      <c r="FH62" s="227"/>
      <c r="FI62" s="227"/>
      <c r="FJ62" s="227"/>
      <c r="FK62" s="227"/>
      <c r="FL62" s="227"/>
      <c r="FM62" s="227"/>
      <c r="FN62" s="227"/>
      <c r="FO62" s="227"/>
      <c r="FP62" s="227"/>
      <c r="FQ62" s="227"/>
      <c r="FR62" s="227"/>
      <c r="FS62" s="227"/>
      <c r="FT62" s="227"/>
      <c r="FU62" s="227"/>
      <c r="FV62" s="227"/>
      <c r="FW62" s="227"/>
      <c r="FX62" s="227"/>
      <c r="FY62" s="227"/>
      <c r="FZ62" s="227"/>
      <c r="GA62" s="227"/>
      <c r="GB62" s="227"/>
      <c r="GC62" s="227"/>
      <c r="GD62" s="227"/>
      <c r="GE62" s="227"/>
      <c r="GF62" s="227"/>
      <c r="GG62" s="227"/>
      <c r="GH62" s="227"/>
      <c r="GI62" s="227"/>
      <c r="GJ62" s="227"/>
      <c r="GK62" s="227"/>
      <c r="GL62" s="227"/>
      <c r="GM62" s="227"/>
      <c r="GN62" s="227"/>
      <c r="GO62" s="227"/>
      <c r="GP62" s="227"/>
      <c r="GQ62" s="227"/>
      <c r="GR62" s="227"/>
      <c r="GS62" s="227"/>
      <c r="GT62" s="227"/>
      <c r="GU62" s="227"/>
      <c r="GV62" s="227"/>
      <c r="GW62" s="227"/>
      <c r="GX62" s="227"/>
      <c r="GY62" s="227"/>
      <c r="GZ62" s="227"/>
      <c r="HA62" s="227"/>
      <c r="HB62" s="227"/>
      <c r="HC62" s="227"/>
      <c r="HD62" s="227"/>
      <c r="HE62" s="227"/>
      <c r="HF62" s="227"/>
      <c r="HG62" s="227"/>
      <c r="HH62" s="227"/>
      <c r="HI62" s="227"/>
      <c r="HJ62" s="227"/>
      <c r="HK62" s="227"/>
      <c r="HL62" s="227"/>
      <c r="HM62" s="227"/>
      <c r="HN62" s="227"/>
      <c r="HO62" s="227"/>
      <c r="HP62" s="227"/>
      <c r="HQ62" s="227"/>
      <c r="HR62" s="227"/>
      <c r="HS62" s="227"/>
      <c r="HT62" s="227"/>
      <c r="HU62" s="227"/>
      <c r="HV62" s="227"/>
      <c r="HW62" s="227"/>
      <c r="HX62" s="227"/>
      <c r="HY62" s="227"/>
      <c r="HZ62" s="227"/>
      <c r="IA62" s="227"/>
      <c r="IB62" s="227"/>
      <c r="IC62" s="227"/>
      <c r="ID62" s="227"/>
      <c r="IE62" s="227"/>
      <c r="IF62" s="227"/>
      <c r="IG62" s="227"/>
      <c r="IH62" s="227"/>
      <c r="II62" s="227"/>
      <c r="IJ62" s="227"/>
      <c r="IK62" s="227"/>
      <c r="IL62" s="227"/>
    </row>
    <row r="63" spans="1:246" s="20" customFormat="1" ht="12.6" customHeight="1">
      <c r="A63" s="348" t="s">
        <v>405</v>
      </c>
      <c r="B63" s="196">
        <f>33*E5</f>
        <v>33</v>
      </c>
      <c r="C63" s="195" t="s">
        <v>208</v>
      </c>
      <c r="D63" s="196"/>
      <c r="E63" s="9"/>
      <c r="F63" s="9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7"/>
      <c r="BR63" s="227"/>
      <c r="BS63" s="227"/>
      <c r="BT63" s="227"/>
      <c r="BU63" s="227"/>
      <c r="BV63" s="227"/>
      <c r="BW63" s="227"/>
      <c r="BX63" s="227"/>
      <c r="BY63" s="227"/>
      <c r="BZ63" s="227"/>
      <c r="CA63" s="227"/>
      <c r="CB63" s="227"/>
      <c r="CC63" s="227"/>
      <c r="CD63" s="227"/>
      <c r="CE63" s="227"/>
      <c r="CF63" s="227"/>
      <c r="CG63" s="227"/>
      <c r="CH63" s="227"/>
      <c r="CI63" s="227"/>
      <c r="CJ63" s="227"/>
      <c r="CK63" s="227"/>
      <c r="CL63" s="227"/>
      <c r="CM63" s="227"/>
      <c r="CN63" s="227"/>
      <c r="CO63" s="227"/>
      <c r="CP63" s="227"/>
      <c r="CQ63" s="227"/>
      <c r="CR63" s="227"/>
      <c r="CS63" s="227"/>
      <c r="CT63" s="227"/>
      <c r="CU63" s="227"/>
      <c r="CV63" s="227"/>
      <c r="CW63" s="227"/>
      <c r="CX63" s="227"/>
      <c r="CY63" s="227"/>
      <c r="CZ63" s="227"/>
      <c r="DA63" s="227"/>
      <c r="DB63" s="227"/>
      <c r="DC63" s="227"/>
      <c r="DD63" s="227"/>
      <c r="DE63" s="227"/>
      <c r="DF63" s="227"/>
      <c r="DG63" s="227"/>
      <c r="DH63" s="227"/>
      <c r="DI63" s="227"/>
      <c r="DJ63" s="227"/>
      <c r="DK63" s="227"/>
      <c r="DL63" s="227"/>
      <c r="DM63" s="227"/>
      <c r="DN63" s="227"/>
      <c r="DO63" s="227"/>
      <c r="DP63" s="227"/>
      <c r="DQ63" s="227"/>
      <c r="DR63" s="227"/>
      <c r="DS63" s="227"/>
      <c r="DT63" s="227"/>
      <c r="DU63" s="227"/>
      <c r="DV63" s="227"/>
      <c r="DW63" s="227"/>
      <c r="DX63" s="227"/>
      <c r="DY63" s="227"/>
      <c r="DZ63" s="227"/>
      <c r="EA63" s="227"/>
      <c r="EB63" s="227"/>
      <c r="EC63" s="227"/>
      <c r="ED63" s="227"/>
      <c r="EE63" s="227"/>
      <c r="EF63" s="227"/>
      <c r="EG63" s="227"/>
      <c r="EH63" s="227"/>
      <c r="EI63" s="227"/>
      <c r="EJ63" s="227"/>
      <c r="EK63" s="227"/>
      <c r="EL63" s="227"/>
      <c r="EM63" s="227"/>
      <c r="EN63" s="227"/>
      <c r="EO63" s="227"/>
      <c r="EP63" s="227"/>
      <c r="EQ63" s="227"/>
      <c r="ER63" s="227"/>
      <c r="ES63" s="227"/>
      <c r="ET63" s="227"/>
      <c r="EU63" s="227"/>
      <c r="EV63" s="227"/>
      <c r="EW63" s="227"/>
      <c r="EX63" s="227"/>
      <c r="EY63" s="227"/>
      <c r="EZ63" s="227"/>
      <c r="FA63" s="227"/>
      <c r="FB63" s="227"/>
      <c r="FC63" s="227"/>
      <c r="FD63" s="227"/>
      <c r="FE63" s="227"/>
      <c r="FF63" s="227"/>
      <c r="FG63" s="227"/>
      <c r="FH63" s="227"/>
      <c r="FI63" s="227"/>
      <c r="FJ63" s="227"/>
      <c r="FK63" s="227"/>
      <c r="FL63" s="227"/>
      <c r="FM63" s="227"/>
      <c r="FN63" s="227"/>
      <c r="FO63" s="227"/>
      <c r="FP63" s="227"/>
      <c r="FQ63" s="227"/>
      <c r="FR63" s="227"/>
      <c r="FS63" s="227"/>
      <c r="FT63" s="227"/>
      <c r="FU63" s="227"/>
      <c r="FV63" s="227"/>
      <c r="FW63" s="227"/>
      <c r="FX63" s="227"/>
      <c r="FY63" s="227"/>
      <c r="FZ63" s="227"/>
      <c r="GA63" s="227"/>
      <c r="GB63" s="227"/>
      <c r="GC63" s="227"/>
      <c r="GD63" s="227"/>
      <c r="GE63" s="227"/>
      <c r="GF63" s="227"/>
      <c r="GG63" s="227"/>
      <c r="GH63" s="227"/>
      <c r="GI63" s="227"/>
      <c r="GJ63" s="227"/>
      <c r="GK63" s="227"/>
      <c r="GL63" s="227"/>
      <c r="GM63" s="227"/>
      <c r="GN63" s="227"/>
      <c r="GO63" s="227"/>
      <c r="GP63" s="227"/>
      <c r="GQ63" s="227"/>
      <c r="GR63" s="227"/>
      <c r="GS63" s="227"/>
      <c r="GT63" s="227"/>
      <c r="GU63" s="227"/>
      <c r="GV63" s="227"/>
      <c r="GW63" s="227"/>
      <c r="GX63" s="227"/>
      <c r="GY63" s="227"/>
      <c r="GZ63" s="227"/>
      <c r="HA63" s="227"/>
      <c r="HB63" s="227"/>
      <c r="HC63" s="227"/>
      <c r="HD63" s="227"/>
      <c r="HE63" s="227"/>
      <c r="HF63" s="227"/>
      <c r="HG63" s="227"/>
      <c r="HH63" s="227"/>
      <c r="HI63" s="227"/>
      <c r="HJ63" s="227"/>
      <c r="HK63" s="227"/>
      <c r="HL63" s="227"/>
      <c r="HM63" s="227"/>
      <c r="HN63" s="227"/>
      <c r="HO63" s="227"/>
      <c r="HP63" s="227"/>
      <c r="HQ63" s="227"/>
      <c r="HR63" s="227"/>
      <c r="HS63" s="227"/>
      <c r="HT63" s="227"/>
      <c r="HU63" s="227"/>
      <c r="HV63" s="227"/>
      <c r="HW63" s="227"/>
      <c r="HX63" s="227"/>
      <c r="HY63" s="227"/>
      <c r="HZ63" s="227"/>
      <c r="IA63" s="227"/>
      <c r="IB63" s="227"/>
      <c r="IC63" s="227"/>
      <c r="ID63" s="227"/>
      <c r="IE63" s="227"/>
      <c r="IF63" s="227"/>
      <c r="IG63" s="227"/>
      <c r="IH63" s="227"/>
      <c r="II63" s="227"/>
      <c r="IJ63" s="227"/>
      <c r="IK63" s="227"/>
      <c r="IL63" s="227"/>
    </row>
    <row r="64" spans="1:246" s="20" customFormat="1" ht="12.6" customHeight="1">
      <c r="A64" s="194" t="s">
        <v>406</v>
      </c>
      <c r="B64" s="196">
        <f>50*E5</f>
        <v>50</v>
      </c>
      <c r="C64" s="195" t="s">
        <v>208</v>
      </c>
      <c r="D64" s="196"/>
      <c r="E64" s="9"/>
      <c r="F64" s="9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7"/>
      <c r="EJ64" s="227"/>
      <c r="EK64" s="227"/>
      <c r="EL64" s="227"/>
      <c r="EM64" s="227"/>
      <c r="EN64" s="227"/>
      <c r="EO64" s="227"/>
      <c r="EP64" s="227"/>
      <c r="EQ64" s="227"/>
      <c r="ER64" s="227"/>
      <c r="ES64" s="227"/>
      <c r="ET64" s="227"/>
      <c r="EU64" s="227"/>
      <c r="EV64" s="227"/>
      <c r="EW64" s="227"/>
      <c r="EX64" s="227"/>
      <c r="EY64" s="227"/>
      <c r="EZ64" s="227"/>
      <c r="FA64" s="227"/>
      <c r="FB64" s="227"/>
      <c r="FC64" s="227"/>
      <c r="FD64" s="227"/>
      <c r="FE64" s="227"/>
      <c r="FF64" s="227"/>
      <c r="FG64" s="227"/>
      <c r="FH64" s="227"/>
      <c r="FI64" s="227"/>
      <c r="FJ64" s="227"/>
      <c r="FK64" s="227"/>
      <c r="FL64" s="227"/>
      <c r="FM64" s="227"/>
      <c r="FN64" s="227"/>
      <c r="FO64" s="227"/>
      <c r="FP64" s="227"/>
      <c r="FQ64" s="227"/>
      <c r="FR64" s="227"/>
      <c r="FS64" s="227"/>
      <c r="FT64" s="227"/>
      <c r="FU64" s="227"/>
      <c r="FV64" s="227"/>
      <c r="FW64" s="227"/>
      <c r="FX64" s="227"/>
      <c r="FY64" s="227"/>
      <c r="FZ64" s="227"/>
      <c r="GA64" s="227"/>
      <c r="GB64" s="227"/>
      <c r="GC64" s="227"/>
      <c r="GD64" s="227"/>
      <c r="GE64" s="227"/>
      <c r="GF64" s="227"/>
      <c r="GG64" s="227"/>
      <c r="GH64" s="227"/>
      <c r="GI64" s="227"/>
      <c r="GJ64" s="227"/>
      <c r="GK64" s="227"/>
      <c r="GL64" s="227"/>
      <c r="GM64" s="227"/>
      <c r="GN64" s="227"/>
      <c r="GO64" s="227"/>
      <c r="GP64" s="227"/>
      <c r="GQ64" s="227"/>
      <c r="GR64" s="227"/>
      <c r="GS64" s="227"/>
      <c r="GT64" s="227"/>
      <c r="GU64" s="227"/>
      <c r="GV64" s="227"/>
      <c r="GW64" s="227"/>
      <c r="GX64" s="227"/>
      <c r="GY64" s="227"/>
      <c r="GZ64" s="227"/>
      <c r="HA64" s="227"/>
      <c r="HB64" s="227"/>
      <c r="HC64" s="227"/>
      <c r="HD64" s="227"/>
      <c r="HE64" s="227"/>
      <c r="HF64" s="227"/>
      <c r="HG64" s="227"/>
      <c r="HH64" s="227"/>
      <c r="HI64" s="227"/>
      <c r="HJ64" s="227"/>
      <c r="HK64" s="227"/>
      <c r="HL64" s="227"/>
      <c r="HM64" s="227"/>
      <c r="HN64" s="227"/>
      <c r="HO64" s="227"/>
      <c r="HP64" s="227"/>
      <c r="HQ64" s="227"/>
      <c r="HR64" s="227"/>
      <c r="HS64" s="227"/>
      <c r="HT64" s="227"/>
      <c r="HU64" s="227"/>
      <c r="HV64" s="227"/>
      <c r="HW64" s="227"/>
      <c r="HX64" s="227"/>
      <c r="HY64" s="227"/>
      <c r="HZ64" s="227"/>
      <c r="IA64" s="227"/>
      <c r="IB64" s="227"/>
      <c r="IC64" s="227"/>
      <c r="ID64" s="227"/>
      <c r="IE64" s="227"/>
      <c r="IF64" s="227"/>
      <c r="IG64" s="227"/>
      <c r="IH64" s="227"/>
      <c r="II64" s="227"/>
      <c r="IJ64" s="227"/>
      <c r="IK64" s="227"/>
      <c r="IL64" s="227"/>
    </row>
    <row r="65" spans="1:246" s="20" customFormat="1" ht="12.6" customHeight="1">
      <c r="A65" s="194" t="s">
        <v>407</v>
      </c>
      <c r="B65" s="196">
        <f>50*E5</f>
        <v>50</v>
      </c>
      <c r="C65" s="195" t="s">
        <v>208</v>
      </c>
      <c r="D65" s="196"/>
      <c r="E65" s="9"/>
      <c r="F65" s="9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27"/>
      <c r="CG65" s="227"/>
      <c r="CH65" s="227"/>
      <c r="CI65" s="227"/>
      <c r="CJ65" s="227"/>
      <c r="CK65" s="227"/>
      <c r="CL65" s="227"/>
      <c r="CM65" s="227"/>
      <c r="CN65" s="227"/>
      <c r="CO65" s="227"/>
      <c r="CP65" s="227"/>
      <c r="CQ65" s="227"/>
      <c r="CR65" s="227"/>
      <c r="CS65" s="227"/>
      <c r="CT65" s="227"/>
      <c r="CU65" s="227"/>
      <c r="CV65" s="227"/>
      <c r="CW65" s="227"/>
      <c r="CX65" s="227"/>
      <c r="CY65" s="227"/>
      <c r="CZ65" s="227"/>
      <c r="DA65" s="227"/>
      <c r="DB65" s="227"/>
      <c r="DC65" s="227"/>
      <c r="DD65" s="227"/>
      <c r="DE65" s="227"/>
      <c r="DF65" s="227"/>
      <c r="DG65" s="227"/>
      <c r="DH65" s="227"/>
      <c r="DI65" s="227"/>
      <c r="DJ65" s="227"/>
      <c r="DK65" s="227"/>
      <c r="DL65" s="227"/>
      <c r="DM65" s="227"/>
      <c r="DN65" s="227"/>
      <c r="DO65" s="227"/>
      <c r="DP65" s="227"/>
      <c r="DQ65" s="227"/>
      <c r="DR65" s="227"/>
      <c r="DS65" s="227"/>
      <c r="DT65" s="227"/>
      <c r="DU65" s="227"/>
      <c r="DV65" s="227"/>
      <c r="DW65" s="227"/>
      <c r="DX65" s="227"/>
      <c r="DY65" s="227"/>
      <c r="DZ65" s="227"/>
      <c r="EA65" s="227"/>
      <c r="EB65" s="227"/>
      <c r="EC65" s="227"/>
      <c r="ED65" s="227"/>
      <c r="EE65" s="227"/>
      <c r="EF65" s="227"/>
      <c r="EG65" s="227"/>
      <c r="EH65" s="227"/>
      <c r="EI65" s="227"/>
      <c r="EJ65" s="227"/>
      <c r="EK65" s="227"/>
      <c r="EL65" s="227"/>
      <c r="EM65" s="227"/>
      <c r="EN65" s="227"/>
      <c r="EO65" s="227"/>
      <c r="EP65" s="227"/>
      <c r="EQ65" s="227"/>
      <c r="ER65" s="227"/>
      <c r="ES65" s="227"/>
      <c r="ET65" s="227"/>
      <c r="EU65" s="227"/>
      <c r="EV65" s="227"/>
      <c r="EW65" s="227"/>
      <c r="EX65" s="227"/>
      <c r="EY65" s="227"/>
      <c r="EZ65" s="227"/>
      <c r="FA65" s="227"/>
      <c r="FB65" s="227"/>
      <c r="FC65" s="227"/>
      <c r="FD65" s="227"/>
      <c r="FE65" s="227"/>
      <c r="FF65" s="227"/>
      <c r="FG65" s="227"/>
      <c r="FH65" s="227"/>
      <c r="FI65" s="227"/>
      <c r="FJ65" s="227"/>
      <c r="FK65" s="227"/>
      <c r="FL65" s="227"/>
      <c r="FM65" s="227"/>
      <c r="FN65" s="227"/>
      <c r="FO65" s="227"/>
      <c r="FP65" s="227"/>
      <c r="FQ65" s="227"/>
      <c r="FR65" s="227"/>
      <c r="FS65" s="227"/>
      <c r="FT65" s="227"/>
      <c r="FU65" s="227"/>
      <c r="FV65" s="227"/>
      <c r="FW65" s="227"/>
      <c r="FX65" s="227"/>
      <c r="FY65" s="227"/>
      <c r="FZ65" s="227"/>
      <c r="GA65" s="227"/>
      <c r="GB65" s="227"/>
      <c r="GC65" s="227"/>
      <c r="GD65" s="227"/>
      <c r="GE65" s="227"/>
      <c r="GF65" s="227"/>
      <c r="GG65" s="227"/>
      <c r="GH65" s="227"/>
      <c r="GI65" s="227"/>
      <c r="GJ65" s="227"/>
      <c r="GK65" s="227"/>
      <c r="GL65" s="227"/>
      <c r="GM65" s="227"/>
      <c r="GN65" s="227"/>
      <c r="GO65" s="227"/>
      <c r="GP65" s="227"/>
      <c r="GQ65" s="227"/>
      <c r="GR65" s="227"/>
      <c r="GS65" s="227"/>
      <c r="GT65" s="227"/>
      <c r="GU65" s="227"/>
      <c r="GV65" s="227"/>
      <c r="GW65" s="227"/>
      <c r="GX65" s="227"/>
      <c r="GY65" s="227"/>
      <c r="GZ65" s="227"/>
      <c r="HA65" s="227"/>
      <c r="HB65" s="227"/>
      <c r="HC65" s="227"/>
      <c r="HD65" s="227"/>
      <c r="HE65" s="227"/>
      <c r="HF65" s="227"/>
      <c r="HG65" s="227"/>
      <c r="HH65" s="227"/>
      <c r="HI65" s="227"/>
      <c r="HJ65" s="227"/>
      <c r="HK65" s="227"/>
      <c r="HL65" s="227"/>
      <c r="HM65" s="227"/>
      <c r="HN65" s="227"/>
      <c r="HO65" s="227"/>
      <c r="HP65" s="227"/>
      <c r="HQ65" s="227"/>
      <c r="HR65" s="227"/>
      <c r="HS65" s="227"/>
      <c r="HT65" s="227"/>
      <c r="HU65" s="227"/>
      <c r="HV65" s="227"/>
      <c r="HW65" s="227"/>
      <c r="HX65" s="227"/>
      <c r="HY65" s="227"/>
      <c r="HZ65" s="227"/>
      <c r="IA65" s="227"/>
      <c r="IB65" s="227"/>
      <c r="IC65" s="227"/>
      <c r="ID65" s="227"/>
      <c r="IE65" s="227"/>
      <c r="IF65" s="227"/>
      <c r="IG65" s="227"/>
      <c r="IH65" s="227"/>
      <c r="II65" s="227"/>
      <c r="IJ65" s="227"/>
      <c r="IK65" s="227"/>
      <c r="IL65" s="227"/>
    </row>
    <row r="66" spans="1:246" s="20" customFormat="1" ht="12.6" customHeight="1">
      <c r="A66" s="194" t="s">
        <v>439</v>
      </c>
      <c r="B66" s="196">
        <f>202.5*E5</f>
        <v>202.5</v>
      </c>
      <c r="C66" s="195" t="s">
        <v>208</v>
      </c>
      <c r="D66" s="196"/>
      <c r="E66" s="9"/>
      <c r="F66" s="9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7"/>
      <c r="BM66" s="227"/>
      <c r="BN66" s="227"/>
      <c r="BO66" s="227"/>
      <c r="BP66" s="227"/>
      <c r="BQ66" s="227"/>
      <c r="BR66" s="227"/>
      <c r="BS66" s="227"/>
      <c r="BT66" s="227"/>
      <c r="BU66" s="227"/>
      <c r="BV66" s="227"/>
      <c r="BW66" s="227"/>
      <c r="BX66" s="227"/>
      <c r="BY66" s="227"/>
      <c r="BZ66" s="227"/>
      <c r="CA66" s="227"/>
      <c r="CB66" s="227"/>
      <c r="CC66" s="227"/>
      <c r="CD66" s="227"/>
      <c r="CE66" s="227"/>
      <c r="CF66" s="227"/>
      <c r="CG66" s="227"/>
      <c r="CH66" s="227"/>
      <c r="CI66" s="227"/>
      <c r="CJ66" s="227"/>
      <c r="CK66" s="227"/>
      <c r="CL66" s="227"/>
      <c r="CM66" s="227"/>
      <c r="CN66" s="227"/>
      <c r="CO66" s="227"/>
      <c r="CP66" s="227"/>
      <c r="CQ66" s="227"/>
      <c r="CR66" s="227"/>
      <c r="CS66" s="227"/>
      <c r="CT66" s="227"/>
      <c r="CU66" s="227"/>
      <c r="CV66" s="227"/>
      <c r="CW66" s="227"/>
      <c r="CX66" s="227"/>
      <c r="CY66" s="227"/>
      <c r="CZ66" s="227"/>
      <c r="DA66" s="227"/>
      <c r="DB66" s="227"/>
      <c r="DC66" s="227"/>
      <c r="DD66" s="227"/>
      <c r="DE66" s="227"/>
      <c r="DF66" s="227"/>
      <c r="DG66" s="227"/>
      <c r="DH66" s="227"/>
      <c r="DI66" s="227"/>
      <c r="DJ66" s="227"/>
      <c r="DK66" s="227"/>
      <c r="DL66" s="227"/>
      <c r="DM66" s="227"/>
      <c r="DN66" s="227"/>
      <c r="DO66" s="227"/>
      <c r="DP66" s="227"/>
      <c r="DQ66" s="227"/>
      <c r="DR66" s="227"/>
      <c r="DS66" s="227"/>
      <c r="DT66" s="227"/>
      <c r="DU66" s="227"/>
      <c r="DV66" s="227"/>
      <c r="DW66" s="227"/>
      <c r="DX66" s="227"/>
      <c r="DY66" s="227"/>
      <c r="DZ66" s="227"/>
      <c r="EA66" s="227"/>
      <c r="EB66" s="227"/>
      <c r="EC66" s="227"/>
      <c r="ED66" s="227"/>
      <c r="EE66" s="227"/>
      <c r="EF66" s="227"/>
      <c r="EG66" s="227"/>
      <c r="EH66" s="227"/>
      <c r="EI66" s="227"/>
      <c r="EJ66" s="227"/>
      <c r="EK66" s="227"/>
      <c r="EL66" s="227"/>
      <c r="EM66" s="227"/>
      <c r="EN66" s="227"/>
      <c r="EO66" s="227"/>
      <c r="EP66" s="227"/>
      <c r="EQ66" s="227"/>
      <c r="ER66" s="227"/>
      <c r="ES66" s="227"/>
      <c r="ET66" s="227"/>
      <c r="EU66" s="227"/>
      <c r="EV66" s="227"/>
      <c r="EW66" s="227"/>
      <c r="EX66" s="227"/>
      <c r="EY66" s="227"/>
      <c r="EZ66" s="227"/>
      <c r="FA66" s="227"/>
      <c r="FB66" s="227"/>
      <c r="FC66" s="227"/>
      <c r="FD66" s="227"/>
      <c r="FE66" s="227"/>
      <c r="FF66" s="227"/>
      <c r="FG66" s="227"/>
      <c r="FH66" s="227"/>
      <c r="FI66" s="227"/>
      <c r="FJ66" s="227"/>
      <c r="FK66" s="227"/>
      <c r="FL66" s="227"/>
      <c r="FM66" s="227"/>
      <c r="FN66" s="227"/>
      <c r="FO66" s="227"/>
      <c r="FP66" s="227"/>
      <c r="FQ66" s="227"/>
      <c r="FR66" s="227"/>
      <c r="FS66" s="227"/>
      <c r="FT66" s="227"/>
      <c r="FU66" s="227"/>
      <c r="FV66" s="227"/>
      <c r="FW66" s="227"/>
      <c r="FX66" s="227"/>
      <c r="FY66" s="227"/>
      <c r="FZ66" s="227"/>
      <c r="GA66" s="227"/>
      <c r="GB66" s="227"/>
      <c r="GC66" s="227"/>
      <c r="GD66" s="227"/>
      <c r="GE66" s="227"/>
      <c r="GF66" s="227"/>
      <c r="GG66" s="227"/>
      <c r="GH66" s="227"/>
      <c r="GI66" s="227"/>
      <c r="GJ66" s="227"/>
      <c r="GK66" s="227"/>
      <c r="GL66" s="227"/>
      <c r="GM66" s="227"/>
      <c r="GN66" s="227"/>
      <c r="GO66" s="227"/>
      <c r="GP66" s="227"/>
      <c r="GQ66" s="227"/>
      <c r="GR66" s="227"/>
      <c r="GS66" s="227"/>
      <c r="GT66" s="227"/>
      <c r="GU66" s="227"/>
      <c r="GV66" s="227"/>
      <c r="GW66" s="227"/>
      <c r="GX66" s="227"/>
      <c r="GY66" s="227"/>
      <c r="GZ66" s="227"/>
      <c r="HA66" s="227"/>
      <c r="HB66" s="227"/>
      <c r="HC66" s="227"/>
      <c r="HD66" s="227"/>
      <c r="HE66" s="227"/>
      <c r="HF66" s="227"/>
      <c r="HG66" s="227"/>
      <c r="HH66" s="227"/>
      <c r="HI66" s="227"/>
      <c r="HJ66" s="227"/>
      <c r="HK66" s="227"/>
      <c r="HL66" s="227"/>
      <c r="HM66" s="227"/>
      <c r="HN66" s="227"/>
      <c r="HO66" s="227"/>
      <c r="HP66" s="227"/>
      <c r="HQ66" s="227"/>
      <c r="HR66" s="227"/>
      <c r="HS66" s="227"/>
      <c r="HT66" s="227"/>
      <c r="HU66" s="227"/>
      <c r="HV66" s="227"/>
      <c r="HW66" s="227"/>
      <c r="HX66" s="227"/>
      <c r="HY66" s="227"/>
      <c r="HZ66" s="227"/>
      <c r="IA66" s="227"/>
      <c r="IB66" s="227"/>
      <c r="IC66" s="227"/>
      <c r="ID66" s="227"/>
      <c r="IE66" s="227"/>
      <c r="IF66" s="227"/>
      <c r="IG66" s="227"/>
      <c r="IH66" s="227"/>
      <c r="II66" s="227"/>
      <c r="IJ66" s="227"/>
      <c r="IK66" s="227"/>
      <c r="IL66" s="227"/>
    </row>
    <row r="67" spans="1:246" s="20" customFormat="1" ht="12.6" customHeight="1">
      <c r="A67" s="194" t="s">
        <v>440</v>
      </c>
      <c r="B67" s="196">
        <f>74.498*E5</f>
        <v>74.498000000000005</v>
      </c>
      <c r="C67" s="195" t="s">
        <v>208</v>
      </c>
      <c r="D67" s="409"/>
      <c r="E67" s="9"/>
      <c r="F67" s="9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7"/>
      <c r="BM67" s="227"/>
      <c r="BN67" s="227"/>
      <c r="BO67" s="227"/>
      <c r="BP67" s="227"/>
      <c r="BQ67" s="227"/>
      <c r="BR67" s="227"/>
      <c r="BS67" s="227"/>
      <c r="BT67" s="227"/>
      <c r="BU67" s="227"/>
      <c r="BV67" s="227"/>
      <c r="BW67" s="227"/>
      <c r="BX67" s="227"/>
      <c r="BY67" s="227"/>
      <c r="BZ67" s="227"/>
      <c r="CA67" s="227"/>
      <c r="CB67" s="227"/>
      <c r="CC67" s="227"/>
      <c r="CD67" s="227"/>
      <c r="CE67" s="227"/>
      <c r="CF67" s="227"/>
      <c r="CG67" s="227"/>
      <c r="CH67" s="227"/>
      <c r="CI67" s="227"/>
      <c r="CJ67" s="227"/>
      <c r="CK67" s="227"/>
      <c r="CL67" s="227"/>
      <c r="CM67" s="227"/>
      <c r="CN67" s="227"/>
      <c r="CO67" s="227"/>
      <c r="CP67" s="227"/>
      <c r="CQ67" s="227"/>
      <c r="CR67" s="227"/>
      <c r="CS67" s="227"/>
      <c r="CT67" s="227"/>
      <c r="CU67" s="227"/>
      <c r="CV67" s="227"/>
      <c r="CW67" s="227"/>
      <c r="CX67" s="227"/>
      <c r="CY67" s="227"/>
      <c r="CZ67" s="227"/>
      <c r="DA67" s="227"/>
      <c r="DB67" s="227"/>
      <c r="DC67" s="227"/>
      <c r="DD67" s="227"/>
      <c r="DE67" s="227"/>
      <c r="DF67" s="227"/>
      <c r="DG67" s="227"/>
      <c r="DH67" s="227"/>
      <c r="DI67" s="227"/>
      <c r="DJ67" s="227"/>
      <c r="DK67" s="227"/>
      <c r="DL67" s="227"/>
      <c r="DM67" s="227"/>
      <c r="DN67" s="227"/>
      <c r="DO67" s="227"/>
      <c r="DP67" s="227"/>
      <c r="DQ67" s="227"/>
      <c r="DR67" s="227"/>
      <c r="DS67" s="227"/>
      <c r="DT67" s="227"/>
      <c r="DU67" s="227"/>
      <c r="DV67" s="227"/>
      <c r="DW67" s="227"/>
      <c r="DX67" s="227"/>
      <c r="DY67" s="227"/>
      <c r="DZ67" s="227"/>
      <c r="EA67" s="227"/>
      <c r="EB67" s="227"/>
      <c r="EC67" s="227"/>
      <c r="ED67" s="227"/>
      <c r="EE67" s="227"/>
      <c r="EF67" s="227"/>
      <c r="EG67" s="227"/>
      <c r="EH67" s="227"/>
      <c r="EI67" s="227"/>
      <c r="EJ67" s="227"/>
      <c r="EK67" s="227"/>
      <c r="EL67" s="227"/>
      <c r="EM67" s="227"/>
      <c r="EN67" s="227"/>
      <c r="EO67" s="227"/>
      <c r="EP67" s="227"/>
      <c r="EQ67" s="227"/>
      <c r="ER67" s="227"/>
      <c r="ES67" s="227"/>
      <c r="ET67" s="227"/>
      <c r="EU67" s="227"/>
      <c r="EV67" s="227"/>
      <c r="EW67" s="227"/>
      <c r="EX67" s="227"/>
      <c r="EY67" s="227"/>
      <c r="EZ67" s="227"/>
      <c r="FA67" s="227"/>
      <c r="FB67" s="227"/>
      <c r="FC67" s="227"/>
      <c r="FD67" s="227"/>
      <c r="FE67" s="227"/>
      <c r="FF67" s="227"/>
      <c r="FG67" s="227"/>
      <c r="FH67" s="227"/>
      <c r="FI67" s="227"/>
      <c r="FJ67" s="227"/>
      <c r="FK67" s="227"/>
      <c r="FL67" s="227"/>
      <c r="FM67" s="227"/>
      <c r="FN67" s="227"/>
      <c r="FO67" s="227"/>
      <c r="FP67" s="227"/>
      <c r="FQ67" s="227"/>
      <c r="FR67" s="227"/>
      <c r="FS67" s="227"/>
      <c r="FT67" s="227"/>
      <c r="FU67" s="227"/>
      <c r="FV67" s="227"/>
      <c r="FW67" s="227"/>
      <c r="FX67" s="227"/>
      <c r="FY67" s="227"/>
      <c r="FZ67" s="227"/>
      <c r="GA67" s="227"/>
      <c r="GB67" s="227"/>
      <c r="GC67" s="227"/>
      <c r="GD67" s="227"/>
      <c r="GE67" s="227"/>
      <c r="GF67" s="227"/>
      <c r="GG67" s="227"/>
      <c r="GH67" s="227"/>
      <c r="GI67" s="227"/>
      <c r="GJ67" s="227"/>
      <c r="GK67" s="227"/>
      <c r="GL67" s="227"/>
      <c r="GM67" s="227"/>
      <c r="GN67" s="227"/>
      <c r="GO67" s="227"/>
      <c r="GP67" s="227"/>
      <c r="GQ67" s="227"/>
      <c r="GR67" s="227"/>
      <c r="GS67" s="227"/>
      <c r="GT67" s="227"/>
      <c r="GU67" s="227"/>
      <c r="GV67" s="227"/>
      <c r="GW67" s="227"/>
      <c r="GX67" s="227"/>
      <c r="GY67" s="227"/>
      <c r="GZ67" s="227"/>
      <c r="HA67" s="227"/>
      <c r="HB67" s="227"/>
      <c r="HC67" s="227"/>
      <c r="HD67" s="227"/>
      <c r="HE67" s="227"/>
      <c r="HF67" s="227"/>
      <c r="HG67" s="227"/>
      <c r="HH67" s="227"/>
      <c r="HI67" s="227"/>
      <c r="HJ67" s="227"/>
      <c r="HK67" s="227"/>
      <c r="HL67" s="227"/>
      <c r="HM67" s="227"/>
      <c r="HN67" s="227"/>
      <c r="HO67" s="227"/>
      <c r="HP67" s="227"/>
      <c r="HQ67" s="227"/>
      <c r="HR67" s="227"/>
      <c r="HS67" s="227"/>
      <c r="HT67" s="227"/>
      <c r="HU67" s="227"/>
      <c r="HV67" s="227"/>
      <c r="HW67" s="227"/>
      <c r="HX67" s="227"/>
      <c r="HY67" s="227"/>
      <c r="HZ67" s="227"/>
      <c r="IA67" s="227"/>
      <c r="IB67" s="227"/>
      <c r="IC67" s="227"/>
      <c r="ID67" s="227"/>
      <c r="IE67" s="227"/>
      <c r="IF67" s="227"/>
      <c r="IG67" s="227"/>
      <c r="IH67" s="227"/>
      <c r="II67" s="227"/>
      <c r="IJ67" s="227"/>
      <c r="IK67" s="227"/>
      <c r="IL67" s="227"/>
    </row>
    <row r="68" spans="1:246" s="20" customFormat="1" ht="12" customHeight="1">
      <c r="A68" s="209" t="s">
        <v>138</v>
      </c>
      <c r="B68" s="207"/>
      <c r="C68" s="195"/>
      <c r="D68" s="208"/>
      <c r="E68" s="9"/>
      <c r="F68" s="9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</row>
    <row r="69" spans="1:246" ht="12.6" customHeight="1">
      <c r="A69" s="31"/>
      <c r="B69" s="331"/>
      <c r="C69" s="30"/>
      <c r="D69" s="30"/>
      <c r="E69" s="9"/>
    </row>
    <row r="70" spans="1:246">
      <c r="E70" s="9"/>
    </row>
    <row r="71" spans="1:246">
      <c r="E71" s="9"/>
    </row>
    <row r="73" spans="1:246" ht="15">
      <c r="A73" s="375" t="s">
        <v>249</v>
      </c>
      <c r="C73" s="373">
        <v>1</v>
      </c>
      <c r="D73" s="373">
        <v>2</v>
      </c>
      <c r="E73" s="374">
        <v>3</v>
      </c>
      <c r="F73" s="373">
        <v>4</v>
      </c>
      <c r="G73" s="373">
        <v>5</v>
      </c>
      <c r="H73" s="373">
        <v>6</v>
      </c>
      <c r="I73" s="373">
        <v>7</v>
      </c>
      <c r="J73" s="373">
        <v>8</v>
      </c>
      <c r="K73" s="373">
        <v>9</v>
      </c>
      <c r="L73" s="373">
        <v>10</v>
      </c>
      <c r="M73" s="373">
        <v>11</v>
      </c>
      <c r="N73" s="373">
        <v>12</v>
      </c>
    </row>
    <row r="74" spans="1:246">
      <c r="A74" s="372" t="s">
        <v>250</v>
      </c>
      <c r="B74" s="372" t="s">
        <v>130</v>
      </c>
      <c r="C74" s="372" t="s">
        <v>251</v>
      </c>
      <c r="D74" s="372" t="s">
        <v>252</v>
      </c>
      <c r="E74" s="372" t="s">
        <v>253</v>
      </c>
      <c r="F74" s="372" t="s">
        <v>254</v>
      </c>
      <c r="G74" s="372" t="s">
        <v>255</v>
      </c>
      <c r="H74" s="372" t="s">
        <v>256</v>
      </c>
      <c r="I74" s="372" t="s">
        <v>257</v>
      </c>
      <c r="J74" s="372" t="s">
        <v>258</v>
      </c>
      <c r="K74" s="372" t="s">
        <v>259</v>
      </c>
      <c r="L74" s="372" t="s">
        <v>260</v>
      </c>
      <c r="M74" s="372" t="s">
        <v>261</v>
      </c>
      <c r="N74" s="372" t="s">
        <v>262</v>
      </c>
    </row>
    <row r="75" spans="1:246">
      <c r="A75" s="51" t="s">
        <v>244</v>
      </c>
      <c r="B75" s="42" t="s">
        <v>263</v>
      </c>
      <c r="C75" s="42">
        <f>C30*$C$80</f>
        <v>60.800000000000004</v>
      </c>
      <c r="D75" s="42">
        <f>C30*$D$80</f>
        <v>121.60000000000001</v>
      </c>
      <c r="E75" s="42">
        <f>C30*$E$80</f>
        <v>228</v>
      </c>
      <c r="F75" s="42">
        <f>C30*$F$80</f>
        <v>319.2</v>
      </c>
      <c r="G75" s="42">
        <f>C30*$G$80</f>
        <v>304</v>
      </c>
      <c r="H75" s="42">
        <f>C30*$H$80</f>
        <v>364.8</v>
      </c>
      <c r="I75" s="42">
        <f>C30*$I$80</f>
        <v>425.6</v>
      </c>
      <c r="J75" s="42">
        <f>C30*$J$80</f>
        <v>524.4</v>
      </c>
      <c r="K75" s="42">
        <f>C30*$K$80</f>
        <v>638.4</v>
      </c>
      <c r="L75" s="42">
        <f>C30*$L$80</f>
        <v>729.6</v>
      </c>
      <c r="M75" s="42">
        <f>C30*$M$80</f>
        <v>760</v>
      </c>
      <c r="N75" s="42">
        <f>C30*$N$80</f>
        <v>129.20000000000002</v>
      </c>
    </row>
    <row r="76" spans="1:246">
      <c r="A76" s="51" t="s">
        <v>245</v>
      </c>
      <c r="B76" s="42" t="s">
        <v>263</v>
      </c>
      <c r="C76" s="42">
        <f t="shared" ref="C76:C79" si="1">C31*$C$80</f>
        <v>424</v>
      </c>
      <c r="D76" s="42">
        <f t="shared" ref="D76:D79" si="2">C31*$D$80</f>
        <v>848</v>
      </c>
      <c r="E76" s="42">
        <f t="shared" ref="E76:E79" si="3">C31*$E$80</f>
        <v>1590</v>
      </c>
      <c r="F76" s="42">
        <f t="shared" ref="F76:F79" si="4">C31*$F$80</f>
        <v>2226</v>
      </c>
      <c r="G76" s="42">
        <f t="shared" ref="G76:G79" si="5">C31*$G$80</f>
        <v>2120</v>
      </c>
      <c r="H76" s="42">
        <f t="shared" ref="H76:H79" si="6">C31*$H$80</f>
        <v>2544</v>
      </c>
      <c r="I76" s="42">
        <f t="shared" ref="I76:I79" si="7">C31*$I$80</f>
        <v>2968.0000000000005</v>
      </c>
      <c r="J76" s="42">
        <f t="shared" ref="J76:J79" si="8">C31*$J$80</f>
        <v>3656.9999999999995</v>
      </c>
      <c r="K76" s="42">
        <f t="shared" ref="K76:K79" si="9">C31*$K$80</f>
        <v>4452</v>
      </c>
      <c r="L76" s="42">
        <f t="shared" ref="L76:L79" si="10">C31*$L$80</f>
        <v>5088</v>
      </c>
      <c r="M76" s="42">
        <f t="shared" ref="M76:M79" si="11">C31*$M$80</f>
        <v>5300</v>
      </c>
      <c r="N76" s="42">
        <f t="shared" ref="N76:N79" si="12">C31*$N$80</f>
        <v>901.00000000000011</v>
      </c>
    </row>
    <row r="77" spans="1:246">
      <c r="A77" s="51" t="s">
        <v>246</v>
      </c>
      <c r="B77" s="42" t="s">
        <v>263</v>
      </c>
      <c r="C77" s="42">
        <f t="shared" si="1"/>
        <v>480</v>
      </c>
      <c r="D77" s="42">
        <f t="shared" si="2"/>
        <v>960</v>
      </c>
      <c r="E77" s="42">
        <f t="shared" si="3"/>
        <v>1800</v>
      </c>
      <c r="F77" s="42">
        <f t="shared" si="4"/>
        <v>2520</v>
      </c>
      <c r="G77" s="42">
        <f t="shared" si="5"/>
        <v>2400</v>
      </c>
      <c r="H77" s="42">
        <f t="shared" si="6"/>
        <v>2880</v>
      </c>
      <c r="I77" s="42">
        <f t="shared" si="7"/>
        <v>3360.0000000000005</v>
      </c>
      <c r="J77" s="42">
        <f t="shared" si="8"/>
        <v>4140</v>
      </c>
      <c r="K77" s="42">
        <f t="shared" si="9"/>
        <v>5040</v>
      </c>
      <c r="L77" s="42">
        <f t="shared" si="10"/>
        <v>5760</v>
      </c>
      <c r="M77" s="42">
        <f t="shared" si="11"/>
        <v>6000</v>
      </c>
      <c r="N77" s="42">
        <f t="shared" si="12"/>
        <v>1020.0000000000001</v>
      </c>
    </row>
    <row r="78" spans="1:246">
      <c r="A78" s="51" t="s">
        <v>247</v>
      </c>
      <c r="B78" s="42" t="s">
        <v>263</v>
      </c>
      <c r="C78" s="42">
        <f>C33*$C$80</f>
        <v>176</v>
      </c>
      <c r="D78" s="42">
        <f t="shared" si="2"/>
        <v>352</v>
      </c>
      <c r="E78" s="42">
        <f t="shared" si="3"/>
        <v>660</v>
      </c>
      <c r="F78" s="42">
        <f t="shared" si="4"/>
        <v>924</v>
      </c>
      <c r="G78" s="42">
        <f t="shared" si="5"/>
        <v>880</v>
      </c>
      <c r="H78" s="42">
        <f t="shared" si="6"/>
        <v>1056</v>
      </c>
      <c r="I78" s="42">
        <f t="shared" si="7"/>
        <v>1232.0000000000002</v>
      </c>
      <c r="J78" s="42">
        <f t="shared" si="8"/>
        <v>1517.9999999999998</v>
      </c>
      <c r="K78" s="42">
        <f t="shared" si="9"/>
        <v>1848</v>
      </c>
      <c r="L78" s="42">
        <f t="shared" si="10"/>
        <v>2112</v>
      </c>
      <c r="M78" s="42">
        <f t="shared" si="11"/>
        <v>2200</v>
      </c>
      <c r="N78" s="42">
        <f t="shared" si="12"/>
        <v>374</v>
      </c>
    </row>
    <row r="79" spans="1:246">
      <c r="A79" s="51" t="s">
        <v>248</v>
      </c>
      <c r="B79" s="42" t="s">
        <v>263</v>
      </c>
      <c r="C79" s="42">
        <f t="shared" si="1"/>
        <v>112</v>
      </c>
      <c r="D79" s="42">
        <f t="shared" si="2"/>
        <v>224</v>
      </c>
      <c r="E79" s="42">
        <f t="shared" si="3"/>
        <v>420</v>
      </c>
      <c r="F79" s="42">
        <f t="shared" si="4"/>
        <v>588</v>
      </c>
      <c r="G79" s="42">
        <f t="shared" si="5"/>
        <v>560</v>
      </c>
      <c r="H79" s="42">
        <f t="shared" si="6"/>
        <v>672</v>
      </c>
      <c r="I79" s="42">
        <f t="shared" si="7"/>
        <v>784.00000000000011</v>
      </c>
      <c r="J79" s="42">
        <f t="shared" si="8"/>
        <v>965.99999999999989</v>
      </c>
      <c r="K79" s="42">
        <f t="shared" si="9"/>
        <v>1176</v>
      </c>
      <c r="L79" s="42">
        <f t="shared" si="10"/>
        <v>1344</v>
      </c>
      <c r="M79" s="42">
        <f t="shared" si="11"/>
        <v>1400</v>
      </c>
      <c r="N79" s="42">
        <f t="shared" si="12"/>
        <v>238.00000000000003</v>
      </c>
    </row>
    <row r="80" spans="1:246">
      <c r="A80" s="376" t="s">
        <v>223</v>
      </c>
      <c r="B80" s="42" t="s">
        <v>46</v>
      </c>
      <c r="C80" s="377">
        <v>0.08</v>
      </c>
      <c r="D80" s="377">
        <v>0.16</v>
      </c>
      <c r="E80" s="377">
        <v>0.3</v>
      </c>
      <c r="F80" s="377">
        <v>0.42</v>
      </c>
      <c r="G80" s="377">
        <v>0.4</v>
      </c>
      <c r="H80" s="377">
        <v>0.48</v>
      </c>
      <c r="I80" s="377">
        <v>0.56000000000000005</v>
      </c>
      <c r="J80" s="377">
        <v>0.69</v>
      </c>
      <c r="K80" s="377">
        <v>0.84</v>
      </c>
      <c r="L80" s="377">
        <v>0.96</v>
      </c>
      <c r="M80" s="377">
        <v>1</v>
      </c>
      <c r="N80" s="377">
        <v>0.17</v>
      </c>
    </row>
    <row r="82" spans="1:5">
      <c r="A82" s="376" t="s">
        <v>264</v>
      </c>
      <c r="B82" s="42">
        <v>15660</v>
      </c>
    </row>
    <row r="86" spans="1:5" ht="38.25">
      <c r="A86" s="100" t="s">
        <v>19</v>
      </c>
      <c r="B86" s="100" t="s">
        <v>382</v>
      </c>
      <c r="C86" s="100" t="s">
        <v>383</v>
      </c>
      <c r="D86" s="100" t="s">
        <v>385</v>
      </c>
      <c r="E86" s="100" t="s">
        <v>384</v>
      </c>
    </row>
    <row r="87" spans="1:5">
      <c r="A87" s="109" t="s">
        <v>221</v>
      </c>
      <c r="B87" s="110">
        <f>SUM(B88:B95)</f>
        <v>13</v>
      </c>
      <c r="C87" s="110">
        <f>SUM(C88:C95)</f>
        <v>13</v>
      </c>
      <c r="D87" s="110">
        <f>SUM(D88:D95)</f>
        <v>13</v>
      </c>
      <c r="E87" s="110">
        <f>SUM(E88:E95)</f>
        <v>13</v>
      </c>
    </row>
    <row r="88" spans="1:5">
      <c r="A88" s="102" t="s">
        <v>273</v>
      </c>
      <c r="B88" s="222">
        <v>1</v>
      </c>
      <c r="C88" s="222">
        <v>1</v>
      </c>
      <c r="D88" s="222">
        <v>1</v>
      </c>
      <c r="E88" s="222">
        <v>1</v>
      </c>
    </row>
    <row r="89" spans="1:5">
      <c r="A89" s="102" t="s">
        <v>274</v>
      </c>
      <c r="B89" s="222">
        <v>1</v>
      </c>
      <c r="C89" s="222">
        <v>1</v>
      </c>
      <c r="D89" s="222">
        <v>1</v>
      </c>
      <c r="E89" s="222">
        <v>1</v>
      </c>
    </row>
    <row r="90" spans="1:5">
      <c r="A90" s="102" t="s">
        <v>275</v>
      </c>
      <c r="B90" s="222">
        <v>1</v>
      </c>
      <c r="C90" s="222">
        <v>1</v>
      </c>
      <c r="D90" s="222">
        <v>1</v>
      </c>
      <c r="E90" s="222">
        <v>1</v>
      </c>
    </row>
    <row r="91" spans="1:5">
      <c r="A91" s="102" t="s">
        <v>276</v>
      </c>
      <c r="B91" s="222">
        <v>2</v>
      </c>
      <c r="C91" s="222">
        <v>2</v>
      </c>
      <c r="D91" s="222">
        <v>2</v>
      </c>
      <c r="E91" s="222">
        <v>2</v>
      </c>
    </row>
    <row r="92" spans="1:5">
      <c r="A92" s="102" t="s">
        <v>277</v>
      </c>
      <c r="B92" s="222">
        <v>4</v>
      </c>
      <c r="C92" s="222">
        <v>4</v>
      </c>
      <c r="D92" s="222">
        <v>4</v>
      </c>
      <c r="E92" s="222">
        <v>4</v>
      </c>
    </row>
    <row r="93" spans="1:5">
      <c r="A93" s="102" t="s">
        <v>278</v>
      </c>
      <c r="B93" s="222">
        <v>1</v>
      </c>
      <c r="C93" s="222">
        <v>1</v>
      </c>
      <c r="D93" s="222">
        <v>1</v>
      </c>
      <c r="E93" s="222">
        <v>1</v>
      </c>
    </row>
    <row r="94" spans="1:5">
      <c r="A94" s="102" t="s">
        <v>279</v>
      </c>
      <c r="B94" s="222">
        <v>1</v>
      </c>
      <c r="C94" s="222">
        <v>1</v>
      </c>
      <c r="D94" s="222">
        <v>1</v>
      </c>
      <c r="E94" s="222">
        <v>1</v>
      </c>
    </row>
    <row r="95" spans="1:5">
      <c r="A95" s="102" t="s">
        <v>222</v>
      </c>
      <c r="B95" s="222">
        <v>2</v>
      </c>
      <c r="C95" s="222">
        <v>2</v>
      </c>
      <c r="D95" s="222">
        <v>2</v>
      </c>
      <c r="E95" s="222">
        <v>2</v>
      </c>
    </row>
    <row r="96" spans="1:5">
      <c r="A96" s="109" t="s">
        <v>168</v>
      </c>
      <c r="B96" s="110">
        <f>SUM(B97:B103)</f>
        <v>9</v>
      </c>
      <c r="C96" s="110">
        <f>SUM(C97:C103)</f>
        <v>18</v>
      </c>
      <c r="D96" s="110">
        <f>SUM(D97:D103)</f>
        <v>18</v>
      </c>
      <c r="E96" s="110">
        <f>SUM(E97:E103)</f>
        <v>18</v>
      </c>
    </row>
    <row r="97" spans="1:5">
      <c r="A97" s="102" t="s">
        <v>280</v>
      </c>
      <c r="B97" s="224">
        <v>1</v>
      </c>
      <c r="C97" s="224">
        <v>2</v>
      </c>
      <c r="D97" s="224">
        <v>2</v>
      </c>
      <c r="E97" s="224">
        <v>2</v>
      </c>
    </row>
    <row r="98" spans="1:5">
      <c r="A98" s="102" t="s">
        <v>281</v>
      </c>
      <c r="B98" s="224">
        <v>2</v>
      </c>
      <c r="C98" s="224">
        <v>4</v>
      </c>
      <c r="D98" s="224">
        <v>4</v>
      </c>
      <c r="E98" s="224">
        <v>4</v>
      </c>
    </row>
    <row r="99" spans="1:5">
      <c r="A99" s="102" t="s">
        <v>282</v>
      </c>
      <c r="B99" s="224">
        <v>2</v>
      </c>
      <c r="C99" s="224">
        <v>3</v>
      </c>
      <c r="D99" s="224">
        <v>3</v>
      </c>
      <c r="E99" s="224">
        <v>3</v>
      </c>
    </row>
    <row r="100" spans="1:5">
      <c r="A100" s="102" t="s">
        <v>283</v>
      </c>
      <c r="B100" s="224">
        <v>1</v>
      </c>
      <c r="C100" s="224">
        <v>2</v>
      </c>
      <c r="D100" s="224">
        <v>2</v>
      </c>
      <c r="E100" s="224">
        <v>2</v>
      </c>
    </row>
    <row r="101" spans="1:5">
      <c r="A101" s="102" t="s">
        <v>284</v>
      </c>
      <c r="B101" s="224">
        <v>1</v>
      </c>
      <c r="C101" s="224">
        <v>2</v>
      </c>
      <c r="D101" s="224">
        <v>2</v>
      </c>
      <c r="E101" s="224">
        <v>2</v>
      </c>
    </row>
    <row r="102" spans="1:5">
      <c r="A102" s="102" t="s">
        <v>285</v>
      </c>
      <c r="B102" s="224">
        <v>1</v>
      </c>
      <c r="C102" s="224">
        <v>3</v>
      </c>
      <c r="D102" s="224">
        <v>3</v>
      </c>
      <c r="E102" s="224">
        <v>3</v>
      </c>
    </row>
    <row r="103" spans="1:5">
      <c r="A103" s="102" t="s">
        <v>286</v>
      </c>
      <c r="B103" s="224">
        <v>1</v>
      </c>
      <c r="C103" s="224">
        <v>2</v>
      </c>
      <c r="D103" s="224">
        <v>2</v>
      </c>
      <c r="E103" s="224">
        <v>2</v>
      </c>
    </row>
    <row r="104" spans="1:5">
      <c r="A104" s="109" t="s">
        <v>215</v>
      </c>
      <c r="B104" s="110">
        <f>SUM(B105:B106)</f>
        <v>4</v>
      </c>
      <c r="C104" s="110">
        <f>SUM(C105:C106)</f>
        <v>4</v>
      </c>
      <c r="D104" s="110">
        <f>SUM(D105:D106)</f>
        <v>4</v>
      </c>
      <c r="E104" s="110">
        <f>SUM(E105:E106)</f>
        <v>4</v>
      </c>
    </row>
    <row r="105" spans="1:5">
      <c r="A105" s="340" t="s">
        <v>287</v>
      </c>
      <c r="B105" s="224">
        <v>1</v>
      </c>
      <c r="C105" s="224">
        <v>1</v>
      </c>
      <c r="D105" s="224">
        <v>1</v>
      </c>
      <c r="E105" s="224">
        <v>1</v>
      </c>
    </row>
    <row r="106" spans="1:5">
      <c r="A106" s="340" t="s">
        <v>288</v>
      </c>
      <c r="B106" s="224">
        <v>3</v>
      </c>
      <c r="C106" s="224">
        <v>3</v>
      </c>
      <c r="D106" s="224">
        <v>3</v>
      </c>
      <c r="E106" s="224">
        <v>3</v>
      </c>
    </row>
    <row r="107" spans="1:5">
      <c r="A107" s="109" t="s">
        <v>8</v>
      </c>
      <c r="B107" s="110">
        <f>B87+B96+B104</f>
        <v>26</v>
      </c>
      <c r="C107" s="110">
        <f>C87+C96+C104</f>
        <v>35</v>
      </c>
      <c r="D107" s="110">
        <f>D87+D96+D104</f>
        <v>35</v>
      </c>
      <c r="E107" s="110">
        <f>E87+E96+E104</f>
        <v>35</v>
      </c>
    </row>
  </sheetData>
  <dataConsolidate/>
  <phoneticPr fontId="3" type="noConversion"/>
  <pageMargins left="0.25" right="0.25" top="0.75" bottom="0.75" header="0.3" footer="0.3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DJ30"/>
  <sheetViews>
    <sheetView zoomScale="80" zoomScaleNormal="80" workbookViewId="0">
      <selection activeCell="D12" sqref="D12"/>
    </sheetView>
  </sheetViews>
  <sheetFormatPr defaultColWidth="9.140625" defaultRowHeight="12.75"/>
  <cols>
    <col min="1" max="1" width="62.140625" style="15" customWidth="1"/>
    <col min="2" max="2" width="15.5703125" style="15" customWidth="1"/>
    <col min="3" max="3" width="21.7109375" style="15" customWidth="1"/>
    <col min="4" max="4" width="14" style="15" bestFit="1" customWidth="1"/>
    <col min="5" max="5" width="23.85546875" style="15" customWidth="1"/>
    <col min="6" max="6" width="9.140625" style="15"/>
    <col min="7" max="7" width="14.42578125" style="15" customWidth="1"/>
    <col min="8" max="16384" width="9.140625" style="15"/>
  </cols>
  <sheetData>
    <row r="1" spans="1:114" ht="36" customHeight="1">
      <c r="A1" s="233" t="s">
        <v>191</v>
      </c>
      <c r="B1" s="26"/>
    </row>
    <row r="2" spans="1:114" ht="13.15" customHeight="1">
      <c r="A2" s="231" t="s">
        <v>21</v>
      </c>
      <c r="B2" s="232" t="s">
        <v>22</v>
      </c>
      <c r="C2" s="232" t="s">
        <v>23</v>
      </c>
      <c r="D2" s="232" t="s">
        <v>24</v>
      </c>
    </row>
    <row r="3" spans="1:114" s="351" customFormat="1" ht="29.45" customHeight="1">
      <c r="A3" s="380" t="s">
        <v>295</v>
      </c>
      <c r="B3" s="350">
        <v>44866</v>
      </c>
      <c r="C3" s="381">
        <f>D3-B3+1</f>
        <v>61</v>
      </c>
      <c r="D3" s="350">
        <v>44926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</row>
    <row r="4" spans="1:114" s="351" customFormat="1">
      <c r="A4" s="380" t="s">
        <v>296</v>
      </c>
      <c r="B4" s="350">
        <v>44958</v>
      </c>
      <c r="C4" s="381">
        <f t="shared" ref="C4:C30" si="0">D4-B4+1</f>
        <v>89</v>
      </c>
      <c r="D4" s="350">
        <v>45046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114" s="351" customFormat="1" ht="13.15" customHeight="1">
      <c r="A5" s="380" t="s">
        <v>297</v>
      </c>
      <c r="B5" s="350">
        <v>44986</v>
      </c>
      <c r="C5" s="381">
        <f t="shared" si="0"/>
        <v>93</v>
      </c>
      <c r="D5" s="350">
        <v>45078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114" s="351" customFormat="1" ht="12" customHeight="1">
      <c r="A6" s="380" t="s">
        <v>298</v>
      </c>
      <c r="B6" s="350">
        <v>45017</v>
      </c>
      <c r="C6" s="381">
        <f t="shared" si="0"/>
        <v>62</v>
      </c>
      <c r="D6" s="350">
        <v>45078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114" s="351" customFormat="1" ht="12" customHeight="1">
      <c r="A7" s="380" t="s">
        <v>299</v>
      </c>
      <c r="B7" s="350">
        <v>45078</v>
      </c>
      <c r="C7" s="381">
        <f t="shared" si="0"/>
        <v>152</v>
      </c>
      <c r="D7" s="350">
        <v>45229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</row>
    <row r="8" spans="1:114" s="351" customFormat="1" ht="13.15" customHeight="1">
      <c r="A8" s="380" t="s">
        <v>300</v>
      </c>
      <c r="B8" s="350">
        <v>45170</v>
      </c>
      <c r="C8" s="381">
        <f t="shared" si="0"/>
        <v>62</v>
      </c>
      <c r="D8" s="350">
        <v>45231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</row>
    <row r="9" spans="1:114" s="351" customFormat="1" ht="13.15" customHeight="1">
      <c r="A9" s="380" t="s">
        <v>301</v>
      </c>
      <c r="B9" s="350">
        <v>45200</v>
      </c>
      <c r="C9" s="381">
        <f t="shared" si="0"/>
        <v>92</v>
      </c>
      <c r="D9" s="350">
        <v>45291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</row>
    <row r="10" spans="1:114" s="351" customFormat="1" ht="13.15" customHeight="1">
      <c r="A10" s="380" t="s">
        <v>302</v>
      </c>
      <c r="B10" s="350">
        <v>45200</v>
      </c>
      <c r="C10" s="381">
        <f t="shared" si="0"/>
        <v>61</v>
      </c>
      <c r="D10" s="350">
        <v>45260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</row>
    <row r="11" spans="1:114" s="351" customFormat="1" ht="13.15" customHeight="1">
      <c r="A11" s="380" t="s">
        <v>303</v>
      </c>
      <c r="B11" s="350">
        <v>45231</v>
      </c>
      <c r="C11" s="381">
        <f t="shared" si="0"/>
        <v>61</v>
      </c>
      <c r="D11" s="350">
        <v>45291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</row>
    <row r="12" spans="1:114" s="351" customFormat="1" ht="13.15" customHeight="1">
      <c r="A12" s="380" t="s">
        <v>304</v>
      </c>
      <c r="B12" s="350">
        <v>45261</v>
      </c>
      <c r="C12" s="381">
        <f t="shared" si="0"/>
        <v>31</v>
      </c>
      <c r="D12" s="350">
        <v>45291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</row>
    <row r="13" spans="1:114" s="351" customFormat="1" ht="13.15" customHeight="1">
      <c r="A13" s="380" t="s">
        <v>305</v>
      </c>
      <c r="B13" s="350">
        <v>45323</v>
      </c>
      <c r="C13" s="381">
        <f t="shared" si="0"/>
        <v>90</v>
      </c>
      <c r="D13" s="350">
        <v>45412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</row>
    <row r="14" spans="1:114" s="351" customFormat="1" ht="13.15" customHeight="1">
      <c r="A14" s="380" t="s">
        <v>297</v>
      </c>
      <c r="B14" s="350">
        <v>45292</v>
      </c>
      <c r="C14" s="381">
        <f t="shared" si="0"/>
        <v>91</v>
      </c>
      <c r="D14" s="350">
        <v>45382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</row>
    <row r="15" spans="1:114" s="351" customFormat="1" ht="13.15" customHeight="1">
      <c r="A15" s="380" t="s">
        <v>306</v>
      </c>
      <c r="B15" s="350">
        <v>45444</v>
      </c>
      <c r="C15" s="381">
        <f t="shared" si="0"/>
        <v>152</v>
      </c>
      <c r="D15" s="350">
        <v>45595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</row>
    <row r="16" spans="1:114" s="351" customFormat="1" ht="15.6" customHeight="1">
      <c r="A16" s="380" t="s">
        <v>307</v>
      </c>
      <c r="B16" s="350">
        <v>45536</v>
      </c>
      <c r="C16" s="381">
        <f t="shared" si="0"/>
        <v>62</v>
      </c>
      <c r="D16" s="350">
        <v>45597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</row>
    <row r="17" spans="1:54" s="351" customFormat="1">
      <c r="A17" s="380" t="s">
        <v>308</v>
      </c>
      <c r="B17" s="350">
        <v>45566</v>
      </c>
      <c r="C17" s="381">
        <f t="shared" si="0"/>
        <v>92</v>
      </c>
      <c r="D17" s="350">
        <v>45657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s="351" customFormat="1">
      <c r="A18" s="380" t="s">
        <v>309</v>
      </c>
      <c r="B18" s="350">
        <v>45566</v>
      </c>
      <c r="C18" s="381">
        <f t="shared" si="0"/>
        <v>61</v>
      </c>
      <c r="D18" s="350">
        <v>45626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</row>
    <row r="19" spans="1:54" s="351" customFormat="1">
      <c r="A19" s="380" t="s">
        <v>310</v>
      </c>
      <c r="B19" s="350">
        <v>45597</v>
      </c>
      <c r="C19" s="381">
        <f t="shared" si="0"/>
        <v>61</v>
      </c>
      <c r="D19" s="350">
        <v>45657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</row>
    <row r="20" spans="1:54">
      <c r="A20" s="380" t="s">
        <v>311</v>
      </c>
      <c r="B20" s="350">
        <v>45627</v>
      </c>
      <c r="C20" s="381">
        <f t="shared" si="0"/>
        <v>31</v>
      </c>
      <c r="D20" s="350">
        <v>45657</v>
      </c>
    </row>
    <row r="21" spans="1:54">
      <c r="A21" s="380" t="s">
        <v>312</v>
      </c>
      <c r="B21" s="350">
        <v>45689</v>
      </c>
      <c r="C21" s="381">
        <f t="shared" si="0"/>
        <v>89</v>
      </c>
      <c r="D21" s="350">
        <v>45777</v>
      </c>
    </row>
    <row r="22" spans="1:54">
      <c r="A22" s="380" t="s">
        <v>297</v>
      </c>
      <c r="B22" s="350">
        <v>45658</v>
      </c>
      <c r="C22" s="381">
        <f t="shared" si="0"/>
        <v>90</v>
      </c>
      <c r="D22" s="350">
        <v>45747</v>
      </c>
    </row>
    <row r="23" spans="1:54">
      <c r="A23" s="380" t="s">
        <v>313</v>
      </c>
      <c r="B23" s="350">
        <v>45809</v>
      </c>
      <c r="C23" s="381">
        <f t="shared" si="0"/>
        <v>152</v>
      </c>
      <c r="D23" s="350">
        <v>45960</v>
      </c>
    </row>
    <row r="24" spans="1:54">
      <c r="A24" s="380" t="s">
        <v>314</v>
      </c>
      <c r="B24" s="350">
        <v>45962</v>
      </c>
      <c r="C24" s="381">
        <f t="shared" si="0"/>
        <v>61</v>
      </c>
      <c r="D24" s="350">
        <v>46022</v>
      </c>
    </row>
    <row r="25" spans="1:54">
      <c r="A25" s="380" t="s">
        <v>315</v>
      </c>
      <c r="B25" s="350">
        <v>46023</v>
      </c>
      <c r="C25" s="381">
        <f t="shared" si="0"/>
        <v>90</v>
      </c>
      <c r="D25" s="350">
        <v>46112</v>
      </c>
    </row>
    <row r="26" spans="1:54">
      <c r="A26" s="380" t="s">
        <v>316</v>
      </c>
      <c r="B26" s="350">
        <v>46054</v>
      </c>
      <c r="C26" s="381">
        <f t="shared" si="0"/>
        <v>89</v>
      </c>
      <c r="D26" s="350">
        <v>46142</v>
      </c>
    </row>
    <row r="27" spans="1:54">
      <c r="A27" s="380" t="s">
        <v>297</v>
      </c>
      <c r="B27" s="350">
        <v>46023</v>
      </c>
      <c r="C27" s="381">
        <f t="shared" si="0"/>
        <v>90</v>
      </c>
      <c r="D27" s="350">
        <v>46112</v>
      </c>
    </row>
    <row r="28" spans="1:54">
      <c r="A28" s="380" t="s">
        <v>317</v>
      </c>
      <c r="B28" s="350">
        <v>46174</v>
      </c>
      <c r="C28" s="381">
        <f t="shared" si="0"/>
        <v>152</v>
      </c>
      <c r="D28" s="350">
        <v>46325</v>
      </c>
    </row>
    <row r="29" spans="1:54">
      <c r="A29" s="380" t="s">
        <v>318</v>
      </c>
      <c r="B29" s="350">
        <v>46327</v>
      </c>
      <c r="C29" s="381">
        <f t="shared" si="0"/>
        <v>61</v>
      </c>
      <c r="D29" s="350">
        <v>46387</v>
      </c>
    </row>
    <row r="30" spans="1:54">
      <c r="A30" s="380" t="s">
        <v>319</v>
      </c>
      <c r="B30" s="350">
        <v>46388</v>
      </c>
      <c r="C30" s="381">
        <f t="shared" si="0"/>
        <v>90</v>
      </c>
      <c r="D30" s="350">
        <v>46477</v>
      </c>
    </row>
  </sheetData>
  <pageMargins left="0.7" right="0.7" top="0.75" bottom="0.75" header="0.3" footer="0.3"/>
  <pageSetup paperSize="9" scale="9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K34"/>
  <sheetViews>
    <sheetView zoomScale="80" zoomScaleNormal="80" workbookViewId="0">
      <selection activeCell="B21" sqref="B21"/>
    </sheetView>
  </sheetViews>
  <sheetFormatPr defaultRowHeight="15"/>
  <cols>
    <col min="1" max="1" width="49" customWidth="1"/>
  </cols>
  <sheetData>
    <row r="1" spans="1:11" ht="15.75">
      <c r="A1" s="39" t="s">
        <v>158</v>
      </c>
      <c r="B1" s="234"/>
      <c r="C1" s="234"/>
      <c r="D1" s="234"/>
      <c r="E1" s="234"/>
      <c r="F1" s="234"/>
      <c r="G1" s="234"/>
    </row>
    <row r="2" spans="1:11">
      <c r="A2" s="242"/>
      <c r="B2" s="243">
        <v>2023</v>
      </c>
      <c r="C2" s="243">
        <v>2024</v>
      </c>
      <c r="D2" s="243">
        <v>2025</v>
      </c>
      <c r="E2" s="243">
        <v>2026</v>
      </c>
      <c r="F2" s="243">
        <v>2027</v>
      </c>
      <c r="G2" s="243">
        <v>2028</v>
      </c>
      <c r="H2" s="243">
        <v>2029</v>
      </c>
      <c r="I2" s="243">
        <v>2030</v>
      </c>
      <c r="J2" s="243">
        <v>2031</v>
      </c>
      <c r="K2" s="243">
        <v>2032</v>
      </c>
    </row>
    <row r="3" spans="1:11">
      <c r="A3" s="235" t="s">
        <v>160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1">
      <c r="A4" s="237" t="s">
        <v>159</v>
      </c>
      <c r="B4" s="244">
        <v>1</v>
      </c>
      <c r="C4" s="244">
        <v>1</v>
      </c>
      <c r="D4" s="244">
        <v>1.05</v>
      </c>
      <c r="E4" s="244">
        <v>1.05</v>
      </c>
      <c r="F4" s="244">
        <v>1.05</v>
      </c>
      <c r="G4" s="244">
        <v>1.05</v>
      </c>
      <c r="H4" s="244">
        <v>1.05</v>
      </c>
      <c r="I4" s="244">
        <v>1.05</v>
      </c>
      <c r="J4" s="244">
        <v>1.05</v>
      </c>
      <c r="K4" s="244">
        <v>1.05</v>
      </c>
    </row>
    <row r="5" spans="1:11">
      <c r="A5" s="51" t="str">
        <f>Исх.данные!A30</f>
        <v>НФС с облицовкой кирпичной кладкой</v>
      </c>
      <c r="B5" s="238">
        <f>Исх.данные!B30</f>
        <v>6.5780000000000003</v>
      </c>
      <c r="C5" s="238">
        <f>B5*$C$4</f>
        <v>6.5780000000000003</v>
      </c>
      <c r="D5" s="238">
        <f>C5*$D$4</f>
        <v>6.9069000000000003</v>
      </c>
      <c r="E5" s="238">
        <f>D5*$E$4</f>
        <v>7.2522450000000003</v>
      </c>
      <c r="F5" s="238">
        <f>E5*$F$4</f>
        <v>7.6148572500000009</v>
      </c>
      <c r="G5" s="238">
        <f>F5*$G$4</f>
        <v>7.9956001125000009</v>
      </c>
      <c r="H5" s="238">
        <f>G5*$H$4</f>
        <v>8.3953801181250007</v>
      </c>
      <c r="I5" s="238">
        <f>H5*$I$4</f>
        <v>8.8151491240312509</v>
      </c>
      <c r="J5" s="238">
        <f>I5*$J$4</f>
        <v>9.2559065802328142</v>
      </c>
      <c r="K5" s="238">
        <f>J5*$K$4</f>
        <v>9.7187019092444551</v>
      </c>
    </row>
    <row r="6" spans="1:11">
      <c r="A6" s="51" t="str">
        <f>Исх.данные!A31</f>
        <v>НФС с облицовкой СФБ</v>
      </c>
      <c r="B6" s="238">
        <f>Исх.данные!B31</f>
        <v>9.0559999999999992</v>
      </c>
      <c r="C6" s="238">
        <f t="shared" ref="C6:C9" si="0">B6*$C$4</f>
        <v>9.0559999999999992</v>
      </c>
      <c r="D6" s="238">
        <f t="shared" ref="D6:D9" si="1">C6*$D$4</f>
        <v>9.508799999999999</v>
      </c>
      <c r="E6" s="238">
        <f t="shared" ref="E6:E9" si="2">D6*$E$4</f>
        <v>9.9842399999999998</v>
      </c>
      <c r="F6" s="238">
        <f t="shared" ref="F6:F10" si="3">E6*$F$4</f>
        <v>10.483452</v>
      </c>
      <c r="G6" s="238">
        <f t="shared" ref="G6:G10" si="4">F6*$G$4</f>
        <v>11.0076246</v>
      </c>
      <c r="H6" s="238">
        <f t="shared" ref="H6:H10" si="5">G6*$H$4</f>
        <v>11.558005830000001</v>
      </c>
      <c r="I6" s="238">
        <f t="shared" ref="I6:I10" si="6">H6*$I$4</f>
        <v>12.135906121500001</v>
      </c>
      <c r="J6" s="238">
        <f t="shared" ref="J6:J10" si="7">I6*$J$4</f>
        <v>12.742701427575001</v>
      </c>
      <c r="K6" s="238">
        <f t="shared" ref="K6:K10" si="8">J6*$K$4</f>
        <v>13.379836498953752</v>
      </c>
    </row>
    <row r="7" spans="1:11">
      <c r="A7" s="51" t="str">
        <f>Исх.данные!A32</f>
        <v>НФС с облицовкой натуральным камнем</v>
      </c>
      <c r="B7" s="238">
        <f>Исх.данные!B32</f>
        <v>5.6660000000000004</v>
      </c>
      <c r="C7" s="238">
        <f t="shared" si="0"/>
        <v>5.6660000000000004</v>
      </c>
      <c r="D7" s="238">
        <f t="shared" si="1"/>
        <v>5.9493000000000009</v>
      </c>
      <c r="E7" s="238">
        <f t="shared" si="2"/>
        <v>6.2467650000000008</v>
      </c>
      <c r="F7" s="238">
        <f t="shared" si="3"/>
        <v>6.5591032500000015</v>
      </c>
      <c r="G7" s="238">
        <f t="shared" si="4"/>
        <v>6.8870584125000018</v>
      </c>
      <c r="H7" s="238">
        <f t="shared" si="5"/>
        <v>7.2314113331250018</v>
      </c>
      <c r="I7" s="238">
        <f t="shared" si="6"/>
        <v>7.5929818997812522</v>
      </c>
      <c r="J7" s="238">
        <f t="shared" si="7"/>
        <v>7.9726309947703147</v>
      </c>
      <c r="K7" s="238">
        <f t="shared" si="8"/>
        <v>8.3712625445088307</v>
      </c>
    </row>
    <row r="8" spans="1:11">
      <c r="A8" s="51" t="str">
        <f>Исх.данные!A33</f>
        <v>НФС с облицовкой клинкерной плиткой</v>
      </c>
      <c r="B8" s="238">
        <f>Исх.данные!B33</f>
        <v>4.09</v>
      </c>
      <c r="C8" s="238">
        <f t="shared" si="0"/>
        <v>4.09</v>
      </c>
      <c r="D8" s="238">
        <f t="shared" si="1"/>
        <v>4.2945000000000002</v>
      </c>
      <c r="E8" s="238">
        <f t="shared" si="2"/>
        <v>4.5092250000000007</v>
      </c>
      <c r="F8" s="238">
        <f t="shared" si="3"/>
        <v>4.7346862500000011</v>
      </c>
      <c r="G8" s="238">
        <f t="shared" si="4"/>
        <v>4.9714205625000014</v>
      </c>
      <c r="H8" s="238">
        <f t="shared" si="5"/>
        <v>5.2199915906250016</v>
      </c>
      <c r="I8" s="238">
        <f t="shared" si="6"/>
        <v>5.4809911701562521</v>
      </c>
      <c r="J8" s="238">
        <f t="shared" si="7"/>
        <v>5.7550407286640652</v>
      </c>
      <c r="K8" s="238">
        <f t="shared" si="8"/>
        <v>6.0427927650972686</v>
      </c>
    </row>
    <row r="9" spans="1:11">
      <c r="A9" s="51" t="str">
        <f>Исх.данные!A34</f>
        <v>НФС с облицовкой керамогранитом</v>
      </c>
      <c r="B9" s="238">
        <f>Исх.данные!B34</f>
        <v>2.8570000000000002</v>
      </c>
      <c r="C9" s="238">
        <f t="shared" si="0"/>
        <v>2.8570000000000002</v>
      </c>
      <c r="D9" s="238">
        <f t="shared" si="1"/>
        <v>2.9998500000000003</v>
      </c>
      <c r="E9" s="238">
        <f t="shared" si="2"/>
        <v>3.1498425000000005</v>
      </c>
      <c r="F9" s="238">
        <f t="shared" si="3"/>
        <v>3.3073346250000006</v>
      </c>
      <c r="G9" s="238">
        <f t="shared" si="4"/>
        <v>3.4727013562500009</v>
      </c>
      <c r="H9" s="238">
        <f t="shared" si="5"/>
        <v>3.6463364240625009</v>
      </c>
      <c r="I9" s="238">
        <f t="shared" si="6"/>
        <v>3.8286532452656261</v>
      </c>
      <c r="J9" s="238">
        <f t="shared" si="7"/>
        <v>4.0200859075289079</v>
      </c>
      <c r="K9" s="238">
        <f t="shared" si="8"/>
        <v>4.2210902029053532</v>
      </c>
    </row>
    <row r="10" spans="1:11">
      <c r="A10" s="51" t="s">
        <v>391</v>
      </c>
      <c r="B10" s="238">
        <v>0</v>
      </c>
      <c r="C10" s="238">
        <v>0</v>
      </c>
      <c r="D10" s="238">
        <v>0</v>
      </c>
      <c r="E10" s="238">
        <f>Исх.данные!B35</f>
        <v>0.4</v>
      </c>
      <c r="F10" s="238">
        <f t="shared" si="3"/>
        <v>0.42000000000000004</v>
      </c>
      <c r="G10" s="238">
        <f t="shared" si="4"/>
        <v>0.44100000000000006</v>
      </c>
      <c r="H10" s="238">
        <f t="shared" si="5"/>
        <v>0.46305000000000007</v>
      </c>
      <c r="I10" s="238">
        <f t="shared" si="6"/>
        <v>0.48620250000000009</v>
      </c>
      <c r="J10" s="238">
        <f t="shared" si="7"/>
        <v>0.51051262500000016</v>
      </c>
      <c r="K10" s="238">
        <f t="shared" si="8"/>
        <v>0.53603825625000023</v>
      </c>
    </row>
    <row r="11" spans="1:11">
      <c r="A11" s="239" t="s">
        <v>293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</row>
    <row r="12" spans="1:11">
      <c r="A12" s="237" t="s">
        <v>159</v>
      </c>
      <c r="B12" s="244">
        <v>1</v>
      </c>
      <c r="C12" s="244">
        <v>1</v>
      </c>
      <c r="D12" s="244">
        <v>1.03</v>
      </c>
      <c r="E12" s="244">
        <v>1.03</v>
      </c>
      <c r="F12" s="244">
        <v>1.03</v>
      </c>
      <c r="G12" s="244">
        <v>1.03</v>
      </c>
      <c r="H12" s="244">
        <v>1.03</v>
      </c>
      <c r="I12" s="244">
        <v>1.03</v>
      </c>
      <c r="J12" s="244">
        <v>1.03</v>
      </c>
      <c r="K12" s="244">
        <v>1.03</v>
      </c>
    </row>
    <row r="13" spans="1:11">
      <c r="A13" s="51" t="str">
        <f>Исх.данные!A24</f>
        <v>НФС с облицовкой кирпичной кладкой</v>
      </c>
      <c r="B13" s="238">
        <f>Исх.данные!B24</f>
        <v>4.6459999999999999</v>
      </c>
      <c r="C13" s="238">
        <f>B13*$C$12</f>
        <v>4.6459999999999999</v>
      </c>
      <c r="D13" s="238">
        <f>C13*$D$12</f>
        <v>4.78538</v>
      </c>
      <c r="E13" s="238">
        <f>D13*$E$12</f>
        <v>4.9289414000000003</v>
      </c>
      <c r="F13" s="238">
        <f>E13*$F$12</f>
        <v>5.0768096420000006</v>
      </c>
      <c r="G13" s="238">
        <f>F13*$G$12</f>
        <v>5.2291139312600006</v>
      </c>
      <c r="H13" s="238">
        <f>G13*$H$12</f>
        <v>5.3859873491978005</v>
      </c>
      <c r="I13" s="238">
        <f>H13*$I$12</f>
        <v>5.5475669696737349</v>
      </c>
      <c r="J13" s="238">
        <f>I13*$J$12</f>
        <v>5.7139939787639467</v>
      </c>
      <c r="K13" s="238">
        <f>J13*$K$12</f>
        <v>5.8854137981268648</v>
      </c>
    </row>
    <row r="14" spans="1:11">
      <c r="A14" s="51" t="str">
        <f>Исх.данные!A25</f>
        <v>НФС с облицовкой СФБ</v>
      </c>
      <c r="B14" s="238">
        <f>Исх.данные!B25</f>
        <v>3.1589999999999998</v>
      </c>
      <c r="C14" s="238">
        <f t="shared" ref="C14:C17" si="9">B14*$C$12</f>
        <v>3.1589999999999998</v>
      </c>
      <c r="D14" s="238">
        <f t="shared" ref="D14:D17" si="10">C14*$D$12</f>
        <v>3.2537699999999998</v>
      </c>
      <c r="E14" s="238">
        <f t="shared" ref="E14:E17" si="11">D14*$E$12</f>
        <v>3.3513831000000001</v>
      </c>
      <c r="F14" s="238">
        <f t="shared" ref="F14:F17" si="12">E14*$F$12</f>
        <v>3.4519245930000002</v>
      </c>
      <c r="G14" s="238">
        <f t="shared" ref="G14:G17" si="13">F14*$G$12</f>
        <v>3.5554823307900003</v>
      </c>
      <c r="H14" s="238">
        <f t="shared" ref="H14:H17" si="14">G14*$H$12</f>
        <v>3.6621468007137006</v>
      </c>
      <c r="I14" s="238">
        <f t="shared" ref="I14:I17" si="15">H14*$I$12</f>
        <v>3.7720112047351115</v>
      </c>
      <c r="J14" s="238">
        <f t="shared" ref="J14:J17" si="16">I14*$J$12</f>
        <v>3.885171540877165</v>
      </c>
      <c r="K14" s="238">
        <f t="shared" ref="K14:K17" si="17">J14*$K$12</f>
        <v>4.0017266871034805</v>
      </c>
    </row>
    <row r="15" spans="1:11">
      <c r="A15" s="51" t="str">
        <f>Исх.данные!A26</f>
        <v>НФС с облицовкой натуральным камнем</v>
      </c>
      <c r="B15" s="238">
        <f>Исх.данные!B26</f>
        <v>2.8450000000000002</v>
      </c>
      <c r="C15" s="238">
        <f t="shared" si="9"/>
        <v>2.8450000000000002</v>
      </c>
      <c r="D15" s="238">
        <f t="shared" si="10"/>
        <v>2.9303500000000002</v>
      </c>
      <c r="E15" s="238">
        <f t="shared" si="11"/>
        <v>3.0182605000000002</v>
      </c>
      <c r="F15" s="238">
        <f t="shared" si="12"/>
        <v>3.1088083150000005</v>
      </c>
      <c r="G15" s="238">
        <f t="shared" si="13"/>
        <v>3.2020725644500008</v>
      </c>
      <c r="H15" s="238">
        <f t="shared" si="14"/>
        <v>3.2981347413835009</v>
      </c>
      <c r="I15" s="238">
        <f t="shared" si="15"/>
        <v>3.3970787836250063</v>
      </c>
      <c r="J15" s="238">
        <f t="shared" si="16"/>
        <v>3.4989911471337565</v>
      </c>
      <c r="K15" s="238">
        <f t="shared" si="17"/>
        <v>3.6039608815477693</v>
      </c>
    </row>
    <row r="16" spans="1:11">
      <c r="A16" s="51" t="str">
        <f>Исх.данные!A27</f>
        <v>НФС с облицовкой клинкерной плиткой</v>
      </c>
      <c r="B16" s="238">
        <f>Исх.данные!B27</f>
        <v>2.9950000000000001</v>
      </c>
      <c r="C16" s="238">
        <f t="shared" si="9"/>
        <v>2.9950000000000001</v>
      </c>
      <c r="D16" s="238">
        <f t="shared" si="10"/>
        <v>3.0848500000000003</v>
      </c>
      <c r="E16" s="238">
        <f t="shared" si="11"/>
        <v>3.1773955000000003</v>
      </c>
      <c r="F16" s="238">
        <f t="shared" si="12"/>
        <v>3.2727173650000005</v>
      </c>
      <c r="G16" s="238">
        <f t="shared" si="13"/>
        <v>3.3708988859500009</v>
      </c>
      <c r="H16" s="238">
        <f t="shared" si="14"/>
        <v>3.472025852528501</v>
      </c>
      <c r="I16" s="238">
        <f t="shared" si="15"/>
        <v>3.5761866281043559</v>
      </c>
      <c r="J16" s="238">
        <f t="shared" si="16"/>
        <v>3.6834722269474867</v>
      </c>
      <c r="K16" s="238">
        <f t="shared" si="17"/>
        <v>3.7939763937559112</v>
      </c>
    </row>
    <row r="17" spans="1:11">
      <c r="A17" s="51" t="str">
        <f>Исх.данные!A28</f>
        <v>НФС с облицовкой керамогранитом</v>
      </c>
      <c r="B17" s="238">
        <f>Исх.данные!B28</f>
        <v>2.3159999999999998</v>
      </c>
      <c r="C17" s="238">
        <f t="shared" si="9"/>
        <v>2.3159999999999998</v>
      </c>
      <c r="D17" s="238">
        <f t="shared" si="10"/>
        <v>2.3854799999999998</v>
      </c>
      <c r="E17" s="238">
        <f t="shared" si="11"/>
        <v>2.4570444</v>
      </c>
      <c r="F17" s="238">
        <f t="shared" si="12"/>
        <v>2.5307557320000003</v>
      </c>
      <c r="G17" s="238">
        <f t="shared" si="13"/>
        <v>2.6066784039600002</v>
      </c>
      <c r="H17" s="238">
        <f t="shared" si="14"/>
        <v>2.6848787560788003</v>
      </c>
      <c r="I17" s="238">
        <f t="shared" si="15"/>
        <v>2.7654251187611645</v>
      </c>
      <c r="J17" s="238">
        <f t="shared" si="16"/>
        <v>2.8483878723239995</v>
      </c>
      <c r="K17" s="238">
        <f t="shared" si="17"/>
        <v>2.9338395084937194</v>
      </c>
    </row>
    <row r="18" spans="1:11">
      <c r="A18" s="239" t="s">
        <v>294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</row>
    <row r="19" spans="1:11">
      <c r="A19" s="237" t="s">
        <v>159</v>
      </c>
      <c r="B19" s="244">
        <v>1</v>
      </c>
      <c r="C19" s="244">
        <v>1</v>
      </c>
      <c r="D19" s="244">
        <v>1.1000000000000001</v>
      </c>
      <c r="E19" s="244">
        <v>1.1000000000000001</v>
      </c>
      <c r="F19" s="244">
        <v>1.1000000000000001</v>
      </c>
      <c r="G19" s="244">
        <v>1.1000000000000001</v>
      </c>
      <c r="H19" s="244">
        <v>1.1000000000000001</v>
      </c>
      <c r="I19" s="244">
        <v>1.1000000000000001</v>
      </c>
      <c r="J19" s="244">
        <v>1.1000000000000001</v>
      </c>
      <c r="K19" s="244">
        <v>1.1000000000000001</v>
      </c>
    </row>
    <row r="20" spans="1:11">
      <c r="A20" s="194" t="str">
        <f>Исх.данные!A56</f>
        <v xml:space="preserve">Командировочные расходы </v>
      </c>
      <c r="B20" s="363">
        <f>Исх.данные!B56</f>
        <v>100</v>
      </c>
      <c r="C20" s="240">
        <f t="shared" ref="C20:C25" si="18">B20*$C$19</f>
        <v>100</v>
      </c>
      <c r="D20" s="240">
        <f t="shared" ref="D20:D27" si="19">C20*$D$19</f>
        <v>110.00000000000001</v>
      </c>
      <c r="E20" s="240">
        <f t="shared" ref="E20:E27" si="20">D20*$E$19</f>
        <v>121.00000000000003</v>
      </c>
      <c r="F20" s="240">
        <f t="shared" ref="F20:F27" si="21">E20*$F$19</f>
        <v>133.10000000000005</v>
      </c>
      <c r="G20" s="240">
        <f t="shared" ref="G20:G27" si="22">F20*$G$19</f>
        <v>146.41000000000008</v>
      </c>
      <c r="H20" s="240">
        <f t="shared" ref="H20:H27" si="23">G20*$H$19</f>
        <v>161.0510000000001</v>
      </c>
      <c r="I20" s="240">
        <f t="shared" ref="I20:I27" si="24">H20*$I$19</f>
        <v>177.15610000000012</v>
      </c>
      <c r="J20" s="240">
        <f t="shared" ref="J20:J27" si="25">I20*$J$19</f>
        <v>194.87171000000015</v>
      </c>
      <c r="K20" s="240">
        <f t="shared" ref="K20:K27" si="26">J20*$K$19</f>
        <v>214.3588810000002</v>
      </c>
    </row>
    <row r="21" spans="1:11">
      <c r="A21" s="194" t="str">
        <f>Исх.данные!A57</f>
        <v>Оплата подрядным организациям</v>
      </c>
      <c r="B21" s="363">
        <f>Исх.данные!B57</f>
        <v>8000</v>
      </c>
      <c r="C21" s="240">
        <f t="shared" si="18"/>
        <v>8000</v>
      </c>
      <c r="D21" s="240">
        <f t="shared" si="19"/>
        <v>8800</v>
      </c>
      <c r="E21" s="240">
        <f t="shared" si="20"/>
        <v>9680</v>
      </c>
      <c r="F21" s="240">
        <f t="shared" si="21"/>
        <v>10648</v>
      </c>
      <c r="G21" s="240">
        <f t="shared" si="22"/>
        <v>11712.800000000001</v>
      </c>
      <c r="H21" s="240">
        <f t="shared" si="23"/>
        <v>12884.080000000002</v>
      </c>
      <c r="I21" s="240">
        <f t="shared" si="24"/>
        <v>14172.488000000003</v>
      </c>
      <c r="J21" s="240">
        <f t="shared" si="25"/>
        <v>15589.736800000004</v>
      </c>
      <c r="K21" s="240">
        <f t="shared" si="26"/>
        <v>17148.710480000005</v>
      </c>
    </row>
    <row r="22" spans="1:11">
      <c r="A22" s="194" t="str">
        <f>Исх.данные!A58</f>
        <v>Госпошлины</v>
      </c>
      <c r="B22" s="363">
        <f>Исх.данные!B58</f>
        <v>20</v>
      </c>
      <c r="C22" s="240">
        <f t="shared" si="18"/>
        <v>20</v>
      </c>
      <c r="D22" s="240">
        <f t="shared" si="19"/>
        <v>22</v>
      </c>
      <c r="E22" s="240">
        <f t="shared" si="20"/>
        <v>24.200000000000003</v>
      </c>
      <c r="F22" s="240">
        <f t="shared" si="21"/>
        <v>26.620000000000005</v>
      </c>
      <c r="G22" s="240">
        <f t="shared" si="22"/>
        <v>29.282000000000007</v>
      </c>
      <c r="H22" s="240">
        <f t="shared" si="23"/>
        <v>32.210200000000007</v>
      </c>
      <c r="I22" s="240">
        <f t="shared" si="24"/>
        <v>35.43122000000001</v>
      </c>
      <c r="J22" s="240">
        <f t="shared" si="25"/>
        <v>38.974342000000014</v>
      </c>
      <c r="K22" s="240">
        <f t="shared" si="26"/>
        <v>42.871776200000021</v>
      </c>
    </row>
    <row r="23" spans="1:11">
      <c r="A23" s="194" t="str">
        <f>Исх.данные!A59</f>
        <v>Представительские расходы</v>
      </c>
      <c r="B23" s="363">
        <f>Исх.данные!B59</f>
        <v>100</v>
      </c>
      <c r="C23" s="240">
        <f t="shared" si="18"/>
        <v>100</v>
      </c>
      <c r="D23" s="240">
        <f t="shared" si="19"/>
        <v>110.00000000000001</v>
      </c>
      <c r="E23" s="240">
        <f t="shared" si="20"/>
        <v>121.00000000000003</v>
      </c>
      <c r="F23" s="240">
        <f t="shared" si="21"/>
        <v>133.10000000000005</v>
      </c>
      <c r="G23" s="240">
        <f t="shared" si="22"/>
        <v>146.41000000000008</v>
      </c>
      <c r="H23" s="240">
        <f t="shared" si="23"/>
        <v>161.0510000000001</v>
      </c>
      <c r="I23" s="240">
        <f t="shared" si="24"/>
        <v>177.15610000000012</v>
      </c>
      <c r="J23" s="240">
        <f t="shared" si="25"/>
        <v>194.87171000000015</v>
      </c>
      <c r="K23" s="240">
        <f t="shared" si="26"/>
        <v>214.3588810000002</v>
      </c>
    </row>
    <row r="24" spans="1:11">
      <c r="A24" s="194" t="str">
        <f>Исх.данные!A60</f>
        <v>Рекламные расходы</v>
      </c>
      <c r="B24" s="363">
        <f>Исх.данные!B60</f>
        <v>15</v>
      </c>
      <c r="C24" s="240">
        <f t="shared" si="18"/>
        <v>15</v>
      </c>
      <c r="D24" s="240">
        <f t="shared" si="19"/>
        <v>16.5</v>
      </c>
      <c r="E24" s="240">
        <f t="shared" si="20"/>
        <v>18.150000000000002</v>
      </c>
      <c r="F24" s="240">
        <f t="shared" si="21"/>
        <v>19.965000000000003</v>
      </c>
      <c r="G24" s="240">
        <f t="shared" si="22"/>
        <v>21.961500000000004</v>
      </c>
      <c r="H24" s="240">
        <f t="shared" si="23"/>
        <v>24.157650000000007</v>
      </c>
      <c r="I24" s="240">
        <f t="shared" si="24"/>
        <v>26.573415000000011</v>
      </c>
      <c r="J24" s="240">
        <f t="shared" si="25"/>
        <v>29.230756500000016</v>
      </c>
      <c r="K24" s="240">
        <f t="shared" si="26"/>
        <v>32.153832150000021</v>
      </c>
    </row>
    <row r="25" spans="1:11">
      <c r="A25" s="194" t="str">
        <f>Исх.данные!A61</f>
        <v>Чистка площадки, уборка мусора</v>
      </c>
      <c r="B25" s="363">
        <f>Исх.данные!B61</f>
        <v>150</v>
      </c>
      <c r="C25" s="240">
        <f t="shared" si="18"/>
        <v>150</v>
      </c>
      <c r="D25" s="240">
        <f t="shared" si="19"/>
        <v>165</v>
      </c>
      <c r="E25" s="240">
        <f t="shared" si="20"/>
        <v>181.50000000000003</v>
      </c>
      <c r="F25" s="240">
        <f t="shared" si="21"/>
        <v>199.65000000000003</v>
      </c>
      <c r="G25" s="240">
        <f t="shared" si="22"/>
        <v>219.61500000000007</v>
      </c>
      <c r="H25" s="240">
        <f t="shared" si="23"/>
        <v>241.5765000000001</v>
      </c>
      <c r="I25" s="240">
        <f t="shared" si="24"/>
        <v>265.73415000000011</v>
      </c>
      <c r="J25" s="240">
        <f t="shared" si="25"/>
        <v>292.30756500000012</v>
      </c>
      <c r="K25" s="240">
        <f t="shared" si="26"/>
        <v>321.53832150000017</v>
      </c>
    </row>
    <row r="26" spans="1:11">
      <c r="A26" s="194" t="str">
        <f>Исх.данные!A63</f>
        <v>Охрана труда</v>
      </c>
      <c r="B26" s="363">
        <f>Исх.данные!B63</f>
        <v>33</v>
      </c>
      <c r="C26" s="240">
        <f>B26*C19</f>
        <v>33</v>
      </c>
      <c r="D26" s="240">
        <f t="shared" si="19"/>
        <v>36.300000000000004</v>
      </c>
      <c r="E26" s="240">
        <f t="shared" si="20"/>
        <v>39.930000000000007</v>
      </c>
      <c r="F26" s="240">
        <f t="shared" si="21"/>
        <v>43.923000000000009</v>
      </c>
      <c r="G26" s="240">
        <f t="shared" si="22"/>
        <v>48.315300000000015</v>
      </c>
      <c r="H26" s="240">
        <f t="shared" si="23"/>
        <v>53.146830000000023</v>
      </c>
      <c r="I26" s="240">
        <f t="shared" si="24"/>
        <v>58.461513000000032</v>
      </c>
      <c r="J26" s="240">
        <f t="shared" si="25"/>
        <v>64.307664300000042</v>
      </c>
      <c r="K26" s="240">
        <f t="shared" si="26"/>
        <v>70.738430730000047</v>
      </c>
    </row>
    <row r="27" spans="1:11">
      <c r="A27" s="194" t="str">
        <f>Исх.данные!A64</f>
        <v>Упаковка</v>
      </c>
      <c r="B27" s="363">
        <f>Исх.данные!B64</f>
        <v>50</v>
      </c>
      <c r="C27" s="240">
        <f>B27*C19</f>
        <v>50</v>
      </c>
      <c r="D27" s="240">
        <f t="shared" si="19"/>
        <v>55.000000000000007</v>
      </c>
      <c r="E27" s="240">
        <f t="shared" si="20"/>
        <v>60.500000000000014</v>
      </c>
      <c r="F27" s="240">
        <f t="shared" si="21"/>
        <v>66.550000000000026</v>
      </c>
      <c r="G27" s="240">
        <f t="shared" si="22"/>
        <v>73.205000000000041</v>
      </c>
      <c r="H27" s="240">
        <f t="shared" si="23"/>
        <v>80.525500000000051</v>
      </c>
      <c r="I27" s="240">
        <f t="shared" si="24"/>
        <v>88.578050000000061</v>
      </c>
      <c r="J27" s="240">
        <f t="shared" si="25"/>
        <v>97.435855000000075</v>
      </c>
      <c r="K27" s="240">
        <f t="shared" si="26"/>
        <v>107.1794405000001</v>
      </c>
    </row>
    <row r="28" spans="1:11">
      <c r="A28" s="194" t="str">
        <f>Исх.данные!A65</f>
        <v>Хозрасходы, канцтовары</v>
      </c>
      <c r="B28" s="363">
        <f>Исх.данные!B65</f>
        <v>50</v>
      </c>
      <c r="C28" s="240">
        <f>B28*C19</f>
        <v>50</v>
      </c>
      <c r="D28" s="240">
        <f t="shared" ref="D28:J28" si="27">C28*D19</f>
        <v>55.000000000000007</v>
      </c>
      <c r="E28" s="240">
        <f t="shared" si="27"/>
        <v>60.500000000000014</v>
      </c>
      <c r="F28" s="240">
        <f t="shared" si="27"/>
        <v>66.550000000000026</v>
      </c>
      <c r="G28" s="240">
        <f t="shared" si="27"/>
        <v>73.205000000000041</v>
      </c>
      <c r="H28" s="240">
        <f t="shared" si="27"/>
        <v>80.525500000000051</v>
      </c>
      <c r="I28" s="240">
        <f t="shared" si="27"/>
        <v>88.578050000000061</v>
      </c>
      <c r="J28" s="240">
        <f t="shared" si="27"/>
        <v>97.435855000000075</v>
      </c>
      <c r="K28" s="240">
        <f>J28*K19</f>
        <v>107.1794405000001</v>
      </c>
    </row>
    <row r="29" spans="1:11">
      <c r="A29" s="194" t="str">
        <f>Исх.данные!A66</f>
        <v>Обслуживание линии порошковой окраски</v>
      </c>
      <c r="B29" s="363">
        <f>Исх.данные!B66</f>
        <v>202.5</v>
      </c>
      <c r="C29" s="240">
        <f>B29*C19</f>
        <v>202.5</v>
      </c>
      <c r="D29" s="240">
        <f>C29*D19</f>
        <v>222.75000000000003</v>
      </c>
      <c r="E29" s="240">
        <f t="shared" ref="E29:K29" si="28">D29*E19</f>
        <v>245.02500000000006</v>
      </c>
      <c r="F29" s="240">
        <f t="shared" si="28"/>
        <v>269.52750000000009</v>
      </c>
      <c r="G29" s="240">
        <f t="shared" si="28"/>
        <v>296.48025000000013</v>
      </c>
      <c r="H29" s="240">
        <f t="shared" si="28"/>
        <v>326.12827500000014</v>
      </c>
      <c r="I29" s="240">
        <f t="shared" si="28"/>
        <v>358.74110250000018</v>
      </c>
      <c r="J29" s="240">
        <f t="shared" si="28"/>
        <v>394.61521275000024</v>
      </c>
      <c r="K29" s="240">
        <f t="shared" si="28"/>
        <v>434.07673402500029</v>
      </c>
    </row>
    <row r="30" spans="1:11">
      <c r="A30" s="194" t="str">
        <f>Исх.данные!A67</f>
        <v xml:space="preserve">Обслуживание производства </v>
      </c>
      <c r="B30" s="363">
        <f>Исх.данные!B67</f>
        <v>74.498000000000005</v>
      </c>
      <c r="C30" s="240">
        <f>B30*C19</f>
        <v>74.498000000000005</v>
      </c>
      <c r="D30" s="240">
        <f t="shared" ref="D30:K30" si="29">C30*D19</f>
        <v>81.947800000000015</v>
      </c>
      <c r="E30" s="240">
        <f t="shared" si="29"/>
        <v>90.142580000000024</v>
      </c>
      <c r="F30" s="240">
        <f t="shared" si="29"/>
        <v>99.156838000000036</v>
      </c>
      <c r="G30" s="240">
        <f t="shared" si="29"/>
        <v>109.07252180000005</v>
      </c>
      <c r="H30" s="240">
        <f t="shared" si="29"/>
        <v>119.97977398000006</v>
      </c>
      <c r="I30" s="240">
        <f t="shared" si="29"/>
        <v>131.97775137800008</v>
      </c>
      <c r="J30" s="240">
        <f t="shared" si="29"/>
        <v>145.1755265158001</v>
      </c>
      <c r="K30" s="240">
        <f t="shared" si="29"/>
        <v>159.69307916738012</v>
      </c>
    </row>
    <row r="31" spans="1:11">
      <c r="A31" s="237" t="s">
        <v>159</v>
      </c>
      <c r="B31" s="244">
        <v>1</v>
      </c>
      <c r="C31" s="244">
        <v>1</v>
      </c>
      <c r="D31" s="244">
        <v>1.07</v>
      </c>
      <c r="E31" s="244">
        <v>1.07</v>
      </c>
      <c r="F31" s="244">
        <v>1.07</v>
      </c>
      <c r="G31" s="244">
        <v>1.07</v>
      </c>
      <c r="H31" s="244">
        <v>1.07</v>
      </c>
      <c r="I31" s="244">
        <v>1.07</v>
      </c>
      <c r="J31" s="244">
        <v>1.07</v>
      </c>
      <c r="K31" s="244">
        <v>1.07</v>
      </c>
    </row>
    <row r="32" spans="1:11">
      <c r="A32" s="194" t="str">
        <f>Исх.данные!A62</f>
        <v>Коммунальные расходы</v>
      </c>
      <c r="B32" s="363">
        <f>Исх.данные!B62</f>
        <v>115</v>
      </c>
      <c r="C32" s="240">
        <f>B32*$C$31</f>
        <v>115</v>
      </c>
      <c r="D32" s="240">
        <f>C32*D31</f>
        <v>123.05000000000001</v>
      </c>
      <c r="E32" s="240">
        <f t="shared" ref="E32:K32" si="30">D32*E31</f>
        <v>131.66350000000003</v>
      </c>
      <c r="F32" s="240">
        <f t="shared" si="30"/>
        <v>140.87994500000005</v>
      </c>
      <c r="G32" s="240">
        <f t="shared" si="30"/>
        <v>150.74154115000007</v>
      </c>
      <c r="H32" s="240">
        <f t="shared" si="30"/>
        <v>161.29344903050008</v>
      </c>
      <c r="I32" s="240">
        <f t="shared" si="30"/>
        <v>172.58399046263511</v>
      </c>
      <c r="J32" s="240">
        <f t="shared" si="30"/>
        <v>184.66486979501957</v>
      </c>
      <c r="K32" s="240">
        <f t="shared" si="30"/>
        <v>197.59141068067095</v>
      </c>
    </row>
    <row r="33" spans="1:11">
      <c r="A33" s="239" t="s">
        <v>161</v>
      </c>
      <c r="B33" s="241"/>
      <c r="C33" s="240"/>
      <c r="D33" s="241"/>
      <c r="E33" s="241"/>
      <c r="F33" s="241"/>
      <c r="G33" s="241"/>
      <c r="H33" s="241"/>
      <c r="I33" s="241"/>
      <c r="J33" s="241"/>
      <c r="K33" s="241"/>
    </row>
    <row r="34" spans="1:11">
      <c r="A34" s="237" t="s">
        <v>162</v>
      </c>
      <c r="B34" s="244">
        <v>1</v>
      </c>
      <c r="C34" s="244">
        <v>1</v>
      </c>
      <c r="D34" s="244">
        <v>1.1000000000000001</v>
      </c>
      <c r="E34" s="244">
        <v>1.1000000000000001</v>
      </c>
      <c r="F34" s="244">
        <v>1.1000000000000001</v>
      </c>
      <c r="G34" s="244">
        <v>1.1000000000000001</v>
      </c>
      <c r="H34" s="244">
        <v>1.1000000000000001</v>
      </c>
      <c r="I34" s="244">
        <v>1.1000000000000001</v>
      </c>
      <c r="J34" s="244">
        <v>1.1000000000000001</v>
      </c>
      <c r="K34" s="244">
        <v>1.1000000000000001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DU137"/>
  <sheetViews>
    <sheetView zoomScale="80" zoomScaleNormal="80" workbookViewId="0">
      <selection activeCell="A2" sqref="A2"/>
    </sheetView>
  </sheetViews>
  <sheetFormatPr defaultColWidth="9.140625" defaultRowHeight="12.75"/>
  <cols>
    <col min="1" max="1" width="7.5703125" style="12" customWidth="1"/>
    <col min="2" max="2" width="52.5703125" style="13" customWidth="1"/>
    <col min="3" max="3" width="10.7109375" style="273" customWidth="1"/>
    <col min="4" max="4" width="12.7109375" style="273" customWidth="1"/>
    <col min="5" max="5" width="19.85546875" style="13" customWidth="1"/>
    <col min="6" max="6" width="10" style="13" customWidth="1"/>
    <col min="7" max="9" width="9.5703125" style="13" bestFit="1" customWidth="1"/>
    <col min="10" max="10" width="6.7109375" style="13" bestFit="1" customWidth="1"/>
    <col min="11" max="12" width="7" style="20" bestFit="1" customWidth="1"/>
    <col min="13" max="13" width="6.42578125" style="20" bestFit="1" customWidth="1"/>
    <col min="14" max="14" width="6.28515625" style="20" bestFit="1" customWidth="1"/>
    <col min="15" max="15" width="8.42578125" style="22" customWidth="1"/>
    <col min="16" max="16" width="7.5703125" style="20" bestFit="1" customWidth="1"/>
    <col min="17" max="17" width="7.140625" style="22" bestFit="1" customWidth="1"/>
    <col min="18" max="18" width="7.5703125" style="22" bestFit="1" customWidth="1"/>
    <col min="19" max="19" width="7.140625" style="22" bestFit="1" customWidth="1"/>
    <col min="20" max="20" width="9.85546875" style="22" bestFit="1" customWidth="1"/>
    <col min="21" max="21" width="9.85546875" style="20" bestFit="1" customWidth="1"/>
    <col min="22" max="22" width="8.85546875" style="20" bestFit="1" customWidth="1"/>
    <col min="23" max="25" width="7.140625" style="23" bestFit="1" customWidth="1"/>
    <col min="26" max="26" width="9.7109375" style="23" customWidth="1"/>
    <col min="27" max="27" width="7.140625" style="23" bestFit="1" customWidth="1"/>
    <col min="28" max="28" width="8.85546875" style="23" bestFit="1" customWidth="1"/>
    <col min="29" max="34" width="7.140625" style="23" bestFit="1" customWidth="1"/>
    <col min="35" max="37" width="8.85546875" style="23" bestFit="1" customWidth="1"/>
    <col min="38" max="38" width="7.42578125" style="23" bestFit="1" customWidth="1"/>
    <col min="39" max="39" width="8.85546875" style="23" bestFit="1" customWidth="1"/>
    <col min="40" max="46" width="7.140625" style="23" bestFit="1" customWidth="1"/>
    <col min="47" max="51" width="9.85546875" style="23" bestFit="1" customWidth="1"/>
    <col min="52" max="53" width="7.140625" style="23" bestFit="1" customWidth="1"/>
    <col min="54" max="58" width="9.140625" style="23"/>
    <col min="59" max="59" width="9.85546875" style="23" bestFit="1" customWidth="1"/>
    <col min="60" max="16384" width="9.140625" style="23"/>
  </cols>
  <sheetData>
    <row r="1" spans="1:77" s="20" customFormat="1" ht="18" customHeight="1">
      <c r="A1" s="55"/>
      <c r="B1" s="56" t="s">
        <v>74</v>
      </c>
      <c r="C1" s="269">
        <v>1</v>
      </c>
      <c r="D1" s="269"/>
      <c r="E1" s="57"/>
      <c r="F1" s="438">
        <v>2022</v>
      </c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>
        <v>2023</v>
      </c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>
        <v>2024</v>
      </c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38"/>
      <c r="AP1" s="438">
        <v>2025</v>
      </c>
      <c r="AQ1" s="438"/>
      <c r="AR1" s="438"/>
      <c r="AS1" s="438"/>
      <c r="AT1" s="438"/>
      <c r="AU1" s="438"/>
      <c r="AV1" s="438"/>
      <c r="AW1" s="438"/>
      <c r="AX1" s="438"/>
      <c r="AY1" s="438"/>
      <c r="AZ1" s="438"/>
      <c r="BA1" s="438"/>
      <c r="BB1" s="438">
        <v>2026</v>
      </c>
      <c r="BC1" s="438"/>
      <c r="BD1" s="438"/>
      <c r="BE1" s="438"/>
      <c r="BF1" s="438"/>
      <c r="BG1" s="438"/>
      <c r="BH1" s="438"/>
      <c r="BI1" s="438"/>
      <c r="BJ1" s="438"/>
      <c r="BK1" s="438"/>
      <c r="BL1" s="438"/>
      <c r="BM1" s="438"/>
      <c r="BN1" s="438">
        <v>2027</v>
      </c>
      <c r="BO1" s="438"/>
      <c r="BP1" s="438"/>
      <c r="BQ1" s="438"/>
      <c r="BR1" s="438"/>
      <c r="BS1" s="438"/>
      <c r="BT1" s="438"/>
      <c r="BU1" s="438"/>
      <c r="BV1" s="438"/>
      <c r="BW1" s="438"/>
      <c r="BX1" s="438"/>
      <c r="BY1" s="438"/>
    </row>
    <row r="2" spans="1:77" ht="36" customHeight="1">
      <c r="A2" s="66" t="s">
        <v>18</v>
      </c>
      <c r="B2" s="37" t="s">
        <v>31</v>
      </c>
      <c r="C2" s="38" t="s">
        <v>136</v>
      </c>
      <c r="D2" s="38" t="s">
        <v>359</v>
      </c>
      <c r="E2" s="67" t="s">
        <v>193</v>
      </c>
      <c r="F2" s="68">
        <v>44562</v>
      </c>
      <c r="G2" s="68">
        <v>44593</v>
      </c>
      <c r="H2" s="68">
        <v>44621</v>
      </c>
      <c r="I2" s="68">
        <v>44652</v>
      </c>
      <c r="J2" s="68">
        <v>44682</v>
      </c>
      <c r="K2" s="68">
        <v>44713</v>
      </c>
      <c r="L2" s="68">
        <v>44743</v>
      </c>
      <c r="M2" s="68">
        <v>44774</v>
      </c>
      <c r="N2" s="68">
        <v>44805</v>
      </c>
      <c r="O2" s="68">
        <v>44835</v>
      </c>
      <c r="P2" s="68">
        <v>44866</v>
      </c>
      <c r="Q2" s="68">
        <v>44896</v>
      </c>
      <c r="R2" s="68">
        <v>44927</v>
      </c>
      <c r="S2" s="68">
        <v>44958</v>
      </c>
      <c r="T2" s="68">
        <v>44986</v>
      </c>
      <c r="U2" s="68">
        <v>45017</v>
      </c>
      <c r="V2" s="68">
        <v>45047</v>
      </c>
      <c r="W2" s="68">
        <v>45078</v>
      </c>
      <c r="X2" s="68">
        <v>45108</v>
      </c>
      <c r="Y2" s="68">
        <v>45139</v>
      </c>
      <c r="Z2" s="68">
        <v>45170</v>
      </c>
      <c r="AA2" s="68">
        <v>45200</v>
      </c>
      <c r="AB2" s="68">
        <v>45231</v>
      </c>
      <c r="AC2" s="68">
        <v>45261</v>
      </c>
      <c r="AD2" s="68">
        <v>45292</v>
      </c>
      <c r="AE2" s="68">
        <v>45323</v>
      </c>
      <c r="AF2" s="68">
        <v>45352</v>
      </c>
      <c r="AG2" s="68">
        <v>45383</v>
      </c>
      <c r="AH2" s="68">
        <v>45413</v>
      </c>
      <c r="AI2" s="68">
        <v>45444</v>
      </c>
      <c r="AJ2" s="68">
        <v>45474</v>
      </c>
      <c r="AK2" s="68">
        <v>45505</v>
      </c>
      <c r="AL2" s="68">
        <v>45536</v>
      </c>
      <c r="AM2" s="68">
        <v>45566</v>
      </c>
      <c r="AN2" s="68">
        <v>45597</v>
      </c>
      <c r="AO2" s="68">
        <v>45627</v>
      </c>
      <c r="AP2" s="68">
        <v>45658</v>
      </c>
      <c r="AQ2" s="68">
        <v>45689</v>
      </c>
      <c r="AR2" s="68">
        <v>45717</v>
      </c>
      <c r="AS2" s="68">
        <v>45748</v>
      </c>
      <c r="AT2" s="68">
        <v>45778</v>
      </c>
      <c r="AU2" s="68">
        <v>45809</v>
      </c>
      <c r="AV2" s="68">
        <v>45839</v>
      </c>
      <c r="AW2" s="68">
        <v>45870</v>
      </c>
      <c r="AX2" s="68">
        <v>45901</v>
      </c>
      <c r="AY2" s="68">
        <v>45931</v>
      </c>
      <c r="AZ2" s="68">
        <v>45962</v>
      </c>
      <c r="BA2" s="68">
        <v>45992</v>
      </c>
      <c r="BB2" s="68">
        <v>46023</v>
      </c>
      <c r="BC2" s="68">
        <v>46054</v>
      </c>
      <c r="BD2" s="68">
        <v>46082</v>
      </c>
      <c r="BE2" s="68">
        <v>46113</v>
      </c>
      <c r="BF2" s="68">
        <v>46143</v>
      </c>
      <c r="BG2" s="68">
        <v>46174</v>
      </c>
      <c r="BH2" s="68">
        <v>46204</v>
      </c>
      <c r="BI2" s="68">
        <v>46235</v>
      </c>
      <c r="BJ2" s="68">
        <v>46266</v>
      </c>
      <c r="BK2" s="68">
        <v>46296</v>
      </c>
      <c r="BL2" s="68">
        <v>46327</v>
      </c>
      <c r="BM2" s="68">
        <v>46357</v>
      </c>
      <c r="BN2" s="68">
        <v>46388</v>
      </c>
      <c r="BO2" s="68">
        <v>46419</v>
      </c>
      <c r="BP2" s="68">
        <v>46447</v>
      </c>
      <c r="BQ2" s="68">
        <v>46478</v>
      </c>
      <c r="BR2" s="68">
        <v>46508</v>
      </c>
      <c r="BS2" s="68">
        <v>46539</v>
      </c>
      <c r="BT2" s="68">
        <v>46569</v>
      </c>
      <c r="BU2" s="68">
        <v>46600</v>
      </c>
      <c r="BV2" s="68">
        <v>46631</v>
      </c>
      <c r="BW2" s="68">
        <v>46661</v>
      </c>
      <c r="BX2" s="68">
        <v>46692</v>
      </c>
      <c r="BY2" s="68">
        <v>46722</v>
      </c>
    </row>
    <row r="3" spans="1:77" s="25" customFormat="1" ht="13.15" customHeight="1">
      <c r="A3" s="245" t="s">
        <v>28</v>
      </c>
      <c r="B3" s="246" t="s">
        <v>92</v>
      </c>
      <c r="C3" s="270"/>
      <c r="D3" s="270"/>
      <c r="E3" s="247">
        <f>SUM(F3:BA3)</f>
        <v>165</v>
      </c>
      <c r="F3" s="247">
        <f>SUM(F4:F5)</f>
        <v>0</v>
      </c>
      <c r="G3" s="247">
        <f t="shared" ref="G3:BR3" si="0">SUM(G4:G5)</f>
        <v>0</v>
      </c>
      <c r="H3" s="247">
        <f t="shared" si="0"/>
        <v>0</v>
      </c>
      <c r="I3" s="247">
        <f t="shared" si="0"/>
        <v>0</v>
      </c>
      <c r="J3" s="247">
        <f t="shared" si="0"/>
        <v>20</v>
      </c>
      <c r="K3" s="247">
        <f t="shared" si="0"/>
        <v>0</v>
      </c>
      <c r="L3" s="247">
        <f t="shared" si="0"/>
        <v>0</v>
      </c>
      <c r="M3" s="247">
        <f t="shared" si="0"/>
        <v>0</v>
      </c>
      <c r="N3" s="247">
        <f t="shared" si="0"/>
        <v>0</v>
      </c>
      <c r="O3" s="247">
        <f t="shared" si="0"/>
        <v>0</v>
      </c>
      <c r="P3" s="247">
        <f t="shared" si="0"/>
        <v>0</v>
      </c>
      <c r="Q3" s="247">
        <f t="shared" si="0"/>
        <v>0</v>
      </c>
      <c r="R3" s="247">
        <f>SUM(R4:R5)</f>
        <v>145</v>
      </c>
      <c r="S3" s="247">
        <f t="shared" si="0"/>
        <v>0</v>
      </c>
      <c r="T3" s="247">
        <f t="shared" si="0"/>
        <v>0</v>
      </c>
      <c r="U3" s="247">
        <f t="shared" si="0"/>
        <v>0</v>
      </c>
      <c r="V3" s="247">
        <f t="shared" si="0"/>
        <v>0</v>
      </c>
      <c r="W3" s="247">
        <f t="shared" si="0"/>
        <v>0</v>
      </c>
      <c r="X3" s="247">
        <f t="shared" si="0"/>
        <v>0</v>
      </c>
      <c r="Y3" s="247">
        <f t="shared" si="0"/>
        <v>0</v>
      </c>
      <c r="Z3" s="247">
        <f t="shared" si="0"/>
        <v>0</v>
      </c>
      <c r="AA3" s="247">
        <f t="shared" si="0"/>
        <v>0</v>
      </c>
      <c r="AB3" s="247">
        <f t="shared" si="0"/>
        <v>0</v>
      </c>
      <c r="AC3" s="247">
        <f t="shared" si="0"/>
        <v>0</v>
      </c>
      <c r="AD3" s="247">
        <f t="shared" si="0"/>
        <v>0</v>
      </c>
      <c r="AE3" s="247">
        <f t="shared" si="0"/>
        <v>0</v>
      </c>
      <c r="AF3" s="247">
        <f t="shared" si="0"/>
        <v>0</v>
      </c>
      <c r="AG3" s="247">
        <f t="shared" si="0"/>
        <v>0</v>
      </c>
      <c r="AH3" s="247">
        <f t="shared" si="0"/>
        <v>0</v>
      </c>
      <c r="AI3" s="247">
        <f t="shared" si="0"/>
        <v>0</v>
      </c>
      <c r="AJ3" s="247">
        <f t="shared" si="0"/>
        <v>0</v>
      </c>
      <c r="AK3" s="247">
        <f t="shared" si="0"/>
        <v>0</v>
      </c>
      <c r="AL3" s="247">
        <f t="shared" si="0"/>
        <v>0</v>
      </c>
      <c r="AM3" s="247">
        <f t="shared" si="0"/>
        <v>0</v>
      </c>
      <c r="AN3" s="247">
        <f t="shared" si="0"/>
        <v>0</v>
      </c>
      <c r="AO3" s="247">
        <f t="shared" si="0"/>
        <v>0</v>
      </c>
      <c r="AP3" s="247">
        <f t="shared" si="0"/>
        <v>0</v>
      </c>
      <c r="AQ3" s="247">
        <f t="shared" si="0"/>
        <v>0</v>
      </c>
      <c r="AR3" s="247">
        <f t="shared" si="0"/>
        <v>0</v>
      </c>
      <c r="AS3" s="247">
        <f t="shared" si="0"/>
        <v>0</v>
      </c>
      <c r="AT3" s="247">
        <f t="shared" si="0"/>
        <v>0</v>
      </c>
      <c r="AU3" s="247">
        <f t="shared" si="0"/>
        <v>0</v>
      </c>
      <c r="AV3" s="247">
        <f t="shared" si="0"/>
        <v>0</v>
      </c>
      <c r="AW3" s="247">
        <f t="shared" si="0"/>
        <v>0</v>
      </c>
      <c r="AX3" s="247">
        <f t="shared" si="0"/>
        <v>0</v>
      </c>
      <c r="AY3" s="247">
        <f t="shared" si="0"/>
        <v>0</v>
      </c>
      <c r="AZ3" s="247">
        <f t="shared" si="0"/>
        <v>0</v>
      </c>
      <c r="BA3" s="247">
        <f t="shared" si="0"/>
        <v>0</v>
      </c>
      <c r="BB3" s="247">
        <f t="shared" si="0"/>
        <v>0</v>
      </c>
      <c r="BC3" s="247">
        <f t="shared" si="0"/>
        <v>0</v>
      </c>
      <c r="BD3" s="247">
        <f t="shared" si="0"/>
        <v>0</v>
      </c>
      <c r="BE3" s="247">
        <f t="shared" si="0"/>
        <v>0</v>
      </c>
      <c r="BF3" s="247">
        <f t="shared" si="0"/>
        <v>0</v>
      </c>
      <c r="BG3" s="247">
        <f t="shared" si="0"/>
        <v>0</v>
      </c>
      <c r="BH3" s="247">
        <f t="shared" si="0"/>
        <v>0</v>
      </c>
      <c r="BI3" s="247">
        <f t="shared" si="0"/>
        <v>0</v>
      </c>
      <c r="BJ3" s="247">
        <f t="shared" si="0"/>
        <v>0</v>
      </c>
      <c r="BK3" s="247">
        <f t="shared" si="0"/>
        <v>0</v>
      </c>
      <c r="BL3" s="247">
        <f t="shared" si="0"/>
        <v>0</v>
      </c>
      <c r="BM3" s="247">
        <f t="shared" si="0"/>
        <v>0</v>
      </c>
      <c r="BN3" s="247">
        <f t="shared" si="0"/>
        <v>0</v>
      </c>
      <c r="BO3" s="247">
        <f t="shared" si="0"/>
        <v>0</v>
      </c>
      <c r="BP3" s="247">
        <f t="shared" si="0"/>
        <v>0</v>
      </c>
      <c r="BQ3" s="247">
        <f t="shared" si="0"/>
        <v>0</v>
      </c>
      <c r="BR3" s="247">
        <f t="shared" si="0"/>
        <v>0</v>
      </c>
      <c r="BS3" s="247">
        <f t="shared" ref="BS3:BY3" si="1">SUM(BS4:BS5)</f>
        <v>0</v>
      </c>
      <c r="BT3" s="247">
        <f t="shared" si="1"/>
        <v>0</v>
      </c>
      <c r="BU3" s="247">
        <f t="shared" si="1"/>
        <v>0</v>
      </c>
      <c r="BV3" s="247">
        <f t="shared" si="1"/>
        <v>0</v>
      </c>
      <c r="BW3" s="247">
        <f t="shared" si="1"/>
        <v>0</v>
      </c>
      <c r="BX3" s="247">
        <f t="shared" si="1"/>
        <v>0</v>
      </c>
      <c r="BY3" s="247">
        <f t="shared" si="1"/>
        <v>0</v>
      </c>
    </row>
    <row r="4" spans="1:77" ht="13.15" customHeight="1">
      <c r="A4" s="69" t="s">
        <v>37</v>
      </c>
      <c r="B4" s="411" t="s">
        <v>238</v>
      </c>
      <c r="C4" s="392">
        <v>1</v>
      </c>
      <c r="D4" s="392">
        <v>145</v>
      </c>
      <c r="E4" s="219">
        <f>C4*D4</f>
        <v>145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>
        <f>E4</f>
        <v>145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</row>
    <row r="5" spans="1:77" ht="13.15" customHeight="1">
      <c r="A5" s="356" t="s">
        <v>38</v>
      </c>
      <c r="B5" s="412" t="s">
        <v>320</v>
      </c>
      <c r="C5" s="393">
        <v>1</v>
      </c>
      <c r="D5" s="393">
        <v>20</v>
      </c>
      <c r="E5" s="219">
        <f>C5*D5</f>
        <v>20</v>
      </c>
      <c r="F5" s="275"/>
      <c r="G5" s="275"/>
      <c r="H5" s="275"/>
      <c r="I5" s="275"/>
      <c r="J5" s="275">
        <f>E5</f>
        <v>20</v>
      </c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</row>
    <row r="6" spans="1:77" s="25" customFormat="1" ht="13.15" customHeight="1">
      <c r="A6" s="245" t="s">
        <v>88</v>
      </c>
      <c r="B6" s="246" t="s">
        <v>321</v>
      </c>
      <c r="C6" s="394"/>
      <c r="D6" s="270"/>
      <c r="E6" s="247">
        <f>SUM(F6:BA6)</f>
        <v>71433.403999999995</v>
      </c>
      <c r="F6" s="247">
        <f t="shared" ref="F6:AK6" si="2">SUM(F7:F13)</f>
        <v>0</v>
      </c>
      <c r="G6" s="247">
        <f t="shared" si="2"/>
        <v>0</v>
      </c>
      <c r="H6" s="247">
        <f t="shared" si="2"/>
        <v>0</v>
      </c>
      <c r="I6" s="247">
        <f t="shared" si="2"/>
        <v>0</v>
      </c>
      <c r="J6" s="247">
        <f t="shared" si="2"/>
        <v>0</v>
      </c>
      <c r="K6" s="247">
        <f t="shared" si="2"/>
        <v>0</v>
      </c>
      <c r="L6" s="247">
        <f t="shared" si="2"/>
        <v>0</v>
      </c>
      <c r="M6" s="247">
        <f t="shared" si="2"/>
        <v>0</v>
      </c>
      <c r="N6" s="247">
        <f t="shared" si="2"/>
        <v>0</v>
      </c>
      <c r="O6" s="247">
        <f t="shared" si="2"/>
        <v>3532.4630000000002</v>
      </c>
      <c r="P6" s="247">
        <f t="shared" si="2"/>
        <v>0</v>
      </c>
      <c r="Q6" s="247">
        <f t="shared" si="2"/>
        <v>0</v>
      </c>
      <c r="R6" s="247">
        <f t="shared" si="2"/>
        <v>26349.439999999999</v>
      </c>
      <c r="S6" s="247">
        <f t="shared" si="2"/>
        <v>15809.441000000001</v>
      </c>
      <c r="T6" s="247">
        <f t="shared" si="2"/>
        <v>395.28</v>
      </c>
      <c r="U6" s="247">
        <f t="shared" si="2"/>
        <v>0</v>
      </c>
      <c r="V6" s="247">
        <f t="shared" si="2"/>
        <v>0</v>
      </c>
      <c r="W6" s="247">
        <f t="shared" si="2"/>
        <v>0</v>
      </c>
      <c r="X6" s="247">
        <f t="shared" si="2"/>
        <v>0</v>
      </c>
      <c r="Y6" s="247">
        <f t="shared" si="2"/>
        <v>0</v>
      </c>
      <c r="Z6" s="247">
        <f t="shared" si="2"/>
        <v>0</v>
      </c>
      <c r="AA6" s="247">
        <f t="shared" si="2"/>
        <v>0</v>
      </c>
      <c r="AB6" s="247">
        <f t="shared" si="2"/>
        <v>0</v>
      </c>
      <c r="AC6" s="247">
        <f t="shared" si="2"/>
        <v>0</v>
      </c>
      <c r="AD6" s="247">
        <f t="shared" si="2"/>
        <v>0</v>
      </c>
      <c r="AE6" s="247">
        <f t="shared" si="2"/>
        <v>0</v>
      </c>
      <c r="AF6" s="247">
        <f t="shared" si="2"/>
        <v>25346.78</v>
      </c>
      <c r="AG6" s="247">
        <f t="shared" si="2"/>
        <v>0</v>
      </c>
      <c r="AH6" s="247">
        <f t="shared" si="2"/>
        <v>0</v>
      </c>
      <c r="AI6" s="247">
        <f t="shared" si="2"/>
        <v>0</v>
      </c>
      <c r="AJ6" s="247">
        <f t="shared" si="2"/>
        <v>0</v>
      </c>
      <c r="AK6" s="247">
        <f t="shared" si="2"/>
        <v>0</v>
      </c>
      <c r="AL6" s="247">
        <f t="shared" ref="AL6:BQ6" si="3">SUM(AL7:AL13)</f>
        <v>0</v>
      </c>
      <c r="AM6" s="247">
        <f t="shared" si="3"/>
        <v>0</v>
      </c>
      <c r="AN6" s="247">
        <f t="shared" si="3"/>
        <v>0</v>
      </c>
      <c r="AO6" s="247">
        <f t="shared" si="3"/>
        <v>0</v>
      </c>
      <c r="AP6" s="247">
        <f t="shared" si="3"/>
        <v>0</v>
      </c>
      <c r="AQ6" s="247">
        <f t="shared" si="3"/>
        <v>0</v>
      </c>
      <c r="AR6" s="247">
        <f t="shared" si="3"/>
        <v>0</v>
      </c>
      <c r="AS6" s="247">
        <f t="shared" si="3"/>
        <v>0</v>
      </c>
      <c r="AT6" s="247">
        <f t="shared" si="3"/>
        <v>0</v>
      </c>
      <c r="AU6" s="247">
        <f t="shared" si="3"/>
        <v>0</v>
      </c>
      <c r="AV6" s="247">
        <f t="shared" si="3"/>
        <v>0</v>
      </c>
      <c r="AW6" s="247">
        <f t="shared" si="3"/>
        <v>0</v>
      </c>
      <c r="AX6" s="247">
        <f t="shared" si="3"/>
        <v>0</v>
      </c>
      <c r="AY6" s="247">
        <f t="shared" si="3"/>
        <v>0</v>
      </c>
      <c r="AZ6" s="247">
        <f t="shared" si="3"/>
        <v>0</v>
      </c>
      <c r="BA6" s="247">
        <f t="shared" si="3"/>
        <v>0</v>
      </c>
      <c r="BB6" s="247">
        <f t="shared" si="3"/>
        <v>0</v>
      </c>
      <c r="BC6" s="247">
        <f t="shared" si="3"/>
        <v>0</v>
      </c>
      <c r="BD6" s="247">
        <f t="shared" si="3"/>
        <v>0</v>
      </c>
      <c r="BE6" s="247">
        <f t="shared" si="3"/>
        <v>0</v>
      </c>
      <c r="BF6" s="247">
        <f t="shared" si="3"/>
        <v>0</v>
      </c>
      <c r="BG6" s="247">
        <f t="shared" si="3"/>
        <v>0</v>
      </c>
      <c r="BH6" s="247">
        <f t="shared" si="3"/>
        <v>0</v>
      </c>
      <c r="BI6" s="247">
        <f t="shared" si="3"/>
        <v>0</v>
      </c>
      <c r="BJ6" s="247">
        <f t="shared" si="3"/>
        <v>0</v>
      </c>
      <c r="BK6" s="247">
        <f t="shared" si="3"/>
        <v>0</v>
      </c>
      <c r="BL6" s="247">
        <f t="shared" si="3"/>
        <v>0</v>
      </c>
      <c r="BM6" s="247">
        <f t="shared" si="3"/>
        <v>0</v>
      </c>
      <c r="BN6" s="247">
        <f t="shared" si="3"/>
        <v>0</v>
      </c>
      <c r="BO6" s="247">
        <f t="shared" si="3"/>
        <v>0</v>
      </c>
      <c r="BP6" s="247">
        <f t="shared" si="3"/>
        <v>0</v>
      </c>
      <c r="BQ6" s="247">
        <f t="shared" si="3"/>
        <v>0</v>
      </c>
      <c r="BR6" s="247">
        <f t="shared" ref="BR6:BY6" si="4">SUM(BR7:BR13)</f>
        <v>0</v>
      </c>
      <c r="BS6" s="247">
        <f t="shared" si="4"/>
        <v>0</v>
      </c>
      <c r="BT6" s="247">
        <f t="shared" si="4"/>
        <v>0</v>
      </c>
      <c r="BU6" s="247">
        <f t="shared" si="4"/>
        <v>0</v>
      </c>
      <c r="BV6" s="247">
        <f t="shared" si="4"/>
        <v>0</v>
      </c>
      <c r="BW6" s="247">
        <f t="shared" si="4"/>
        <v>0</v>
      </c>
      <c r="BX6" s="247">
        <f t="shared" si="4"/>
        <v>0</v>
      </c>
      <c r="BY6" s="247">
        <f t="shared" si="4"/>
        <v>0</v>
      </c>
    </row>
    <row r="7" spans="1:77">
      <c r="A7" s="69" t="s">
        <v>39</v>
      </c>
      <c r="B7" s="384" t="str">
        <f>Исх.данные!A37</f>
        <v>Земельный участок</v>
      </c>
      <c r="C7" s="393">
        <v>1</v>
      </c>
      <c r="D7" s="338">
        <f>Исх.данные!B37</f>
        <v>3532.4630000000002</v>
      </c>
      <c r="E7" s="219">
        <f>C7*D7</f>
        <v>3532.4630000000002</v>
      </c>
      <c r="O7" s="70">
        <f>E7</f>
        <v>3532.4630000000002</v>
      </c>
      <c r="Q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</row>
    <row r="8" spans="1:77">
      <c r="A8" s="69" t="s">
        <v>40</v>
      </c>
      <c r="B8" s="384" t="s">
        <v>322</v>
      </c>
      <c r="C8" s="393">
        <v>1</v>
      </c>
      <c r="D8" s="338">
        <v>349.44</v>
      </c>
      <c r="E8" s="219">
        <f t="shared" ref="E8:E13" si="5">C8*D8</f>
        <v>349.44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275"/>
      <c r="R8" s="70">
        <f>E8</f>
        <v>349.44</v>
      </c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</row>
    <row r="9" spans="1:77">
      <c r="A9" s="69" t="s">
        <v>125</v>
      </c>
      <c r="B9" s="384" t="s">
        <v>323</v>
      </c>
      <c r="C9" s="393">
        <v>1</v>
      </c>
      <c r="D9" s="338">
        <v>15809.441000000001</v>
      </c>
      <c r="E9" s="219">
        <f t="shared" si="5"/>
        <v>15809.441000000001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275"/>
      <c r="R9" s="70"/>
      <c r="S9" s="70">
        <f>E9</f>
        <v>15809.441000000001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</row>
    <row r="10" spans="1:77">
      <c r="A10" s="69" t="s">
        <v>289</v>
      </c>
      <c r="B10" s="384" t="s">
        <v>348</v>
      </c>
      <c r="C10" s="393">
        <v>1</v>
      </c>
      <c r="D10" s="338">
        <v>10046</v>
      </c>
      <c r="E10" s="219">
        <f t="shared" si="5"/>
        <v>10046</v>
      </c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>
        <f>E10</f>
        <v>10046</v>
      </c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</row>
    <row r="11" spans="1:77">
      <c r="A11" s="69" t="s">
        <v>290</v>
      </c>
      <c r="B11" s="353" t="s">
        <v>347</v>
      </c>
      <c r="C11" s="393">
        <v>1</v>
      </c>
      <c r="D11" s="338">
        <v>15300.78</v>
      </c>
      <c r="E11" s="219">
        <f t="shared" si="5"/>
        <v>15300.78</v>
      </c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>
        <f>E11</f>
        <v>15300.78</v>
      </c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  <c r="AV11" s="275"/>
      <c r="AW11" s="275"/>
      <c r="AX11" s="275"/>
      <c r="AY11" s="275"/>
      <c r="AZ11" s="275"/>
      <c r="BA11" s="275"/>
      <c r="BB11" s="275"/>
      <c r="BC11" s="275"/>
      <c r="BD11" s="275"/>
      <c r="BE11" s="275"/>
      <c r="BF11" s="275"/>
      <c r="BG11" s="275"/>
      <c r="BH11" s="275"/>
      <c r="BI11" s="275"/>
      <c r="BJ11" s="275"/>
      <c r="BK11" s="275"/>
      <c r="BL11" s="275"/>
      <c r="BM11" s="275"/>
      <c r="BN11" s="275"/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</row>
    <row r="12" spans="1:77">
      <c r="A12" s="69" t="s">
        <v>291</v>
      </c>
      <c r="B12" s="404" t="s">
        <v>429</v>
      </c>
      <c r="C12" s="393">
        <v>2</v>
      </c>
      <c r="D12" s="405">
        <v>13000</v>
      </c>
      <c r="E12" s="219">
        <f t="shared" si="5"/>
        <v>26000</v>
      </c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>
        <f>E12</f>
        <v>26000</v>
      </c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75"/>
      <c r="BL12" s="275"/>
      <c r="BM12" s="275"/>
      <c r="BN12" s="275"/>
      <c r="BO12" s="275"/>
      <c r="BP12" s="275"/>
      <c r="BQ12" s="275"/>
      <c r="BR12" s="275"/>
      <c r="BS12" s="275"/>
      <c r="BT12" s="275"/>
      <c r="BU12" s="275"/>
      <c r="BV12" s="275"/>
      <c r="BW12" s="275"/>
      <c r="BX12" s="275"/>
      <c r="BY12" s="275"/>
    </row>
    <row r="13" spans="1:77">
      <c r="A13" s="69" t="s">
        <v>292</v>
      </c>
      <c r="B13" s="404" t="s">
        <v>346</v>
      </c>
      <c r="C13" s="393">
        <v>1</v>
      </c>
      <c r="D13" s="405">
        <v>395.28</v>
      </c>
      <c r="E13" s="219">
        <f t="shared" si="5"/>
        <v>395.28</v>
      </c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>
        <f>E13</f>
        <v>395.28</v>
      </c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5"/>
      <c r="BN13" s="275"/>
      <c r="BO13" s="275"/>
      <c r="BP13" s="275"/>
      <c r="BQ13" s="275"/>
      <c r="BR13" s="275"/>
      <c r="BS13" s="275"/>
      <c r="BT13" s="275"/>
      <c r="BU13" s="275"/>
      <c r="BV13" s="275"/>
      <c r="BW13" s="275"/>
      <c r="BX13" s="275"/>
      <c r="BY13" s="275"/>
    </row>
    <row r="14" spans="1:77">
      <c r="A14" s="270">
        <v>3</v>
      </c>
      <c r="B14" s="246" t="s">
        <v>424</v>
      </c>
      <c r="C14" s="246"/>
      <c r="D14" s="247">
        <f>SUM(D15:D36)</f>
        <v>59166.150000000009</v>
      </c>
      <c r="E14" s="247">
        <f>SUM(F14:BY14)</f>
        <v>59166.150000000009</v>
      </c>
      <c r="F14" s="247">
        <f t="shared" ref="F14:AK14" si="6">SUM(F15:F36)</f>
        <v>0</v>
      </c>
      <c r="G14" s="247">
        <f t="shared" si="6"/>
        <v>0</v>
      </c>
      <c r="H14" s="247">
        <f t="shared" si="6"/>
        <v>0</v>
      </c>
      <c r="I14" s="247">
        <f t="shared" si="6"/>
        <v>0</v>
      </c>
      <c r="J14" s="247">
        <f t="shared" si="6"/>
        <v>0</v>
      </c>
      <c r="K14" s="247">
        <f t="shared" si="6"/>
        <v>0</v>
      </c>
      <c r="L14" s="247">
        <f t="shared" si="6"/>
        <v>0</v>
      </c>
      <c r="M14" s="247">
        <f t="shared" si="6"/>
        <v>0</v>
      </c>
      <c r="N14" s="247">
        <f t="shared" si="6"/>
        <v>0</v>
      </c>
      <c r="O14" s="247">
        <f t="shared" si="6"/>
        <v>0</v>
      </c>
      <c r="P14" s="247">
        <f t="shared" si="6"/>
        <v>0</v>
      </c>
      <c r="Q14" s="247">
        <f t="shared" si="6"/>
        <v>0</v>
      </c>
      <c r="R14" s="247">
        <f t="shared" si="6"/>
        <v>0</v>
      </c>
      <c r="S14" s="247">
        <f>SUM(S15:S36)</f>
        <v>0</v>
      </c>
      <c r="T14" s="247">
        <f t="shared" ref="T14:W14" si="7">SUM(T15:T36)</f>
        <v>0</v>
      </c>
      <c r="U14" s="247">
        <f>SUM(U15:U36)</f>
        <v>45288.47</v>
      </c>
      <c r="V14" s="247">
        <f t="shared" si="7"/>
        <v>7569.8</v>
      </c>
      <c r="W14" s="247">
        <f t="shared" si="7"/>
        <v>635.54999999999995</v>
      </c>
      <c r="X14" s="247">
        <f t="shared" si="6"/>
        <v>570.20000000000005</v>
      </c>
      <c r="Y14" s="247">
        <f t="shared" si="6"/>
        <v>47.3</v>
      </c>
      <c r="Z14" s="247">
        <f t="shared" si="6"/>
        <v>2027.53</v>
      </c>
      <c r="AA14" s="247">
        <f t="shared" si="6"/>
        <v>741</v>
      </c>
      <c r="AB14" s="247">
        <f t="shared" si="6"/>
        <v>1553.5</v>
      </c>
      <c r="AC14" s="247">
        <f t="shared" si="6"/>
        <v>732.8</v>
      </c>
      <c r="AD14" s="247">
        <f t="shared" si="6"/>
        <v>0</v>
      </c>
      <c r="AE14" s="247">
        <f t="shared" si="6"/>
        <v>0</v>
      </c>
      <c r="AF14" s="247">
        <f t="shared" si="6"/>
        <v>0</v>
      </c>
      <c r="AG14" s="247">
        <f t="shared" si="6"/>
        <v>0</v>
      </c>
      <c r="AH14" s="247">
        <f t="shared" si="6"/>
        <v>0</v>
      </c>
      <c r="AI14" s="247">
        <f t="shared" si="6"/>
        <v>0</v>
      </c>
      <c r="AJ14" s="247">
        <f t="shared" si="6"/>
        <v>0</v>
      </c>
      <c r="AK14" s="247">
        <f t="shared" si="6"/>
        <v>0</v>
      </c>
      <c r="AL14" s="247">
        <f t="shared" ref="AL14:BQ14" si="8">SUM(AL15:AL36)</f>
        <v>0</v>
      </c>
      <c r="AM14" s="247">
        <f t="shared" si="8"/>
        <v>0</v>
      </c>
      <c r="AN14" s="247">
        <f t="shared" si="8"/>
        <v>0</v>
      </c>
      <c r="AO14" s="247">
        <f t="shared" si="8"/>
        <v>0</v>
      </c>
      <c r="AP14" s="247">
        <f t="shared" si="8"/>
        <v>0</v>
      </c>
      <c r="AQ14" s="247">
        <f t="shared" si="8"/>
        <v>0</v>
      </c>
      <c r="AR14" s="247">
        <f t="shared" si="8"/>
        <v>0</v>
      </c>
      <c r="AS14" s="247">
        <f t="shared" si="8"/>
        <v>0</v>
      </c>
      <c r="AT14" s="247">
        <f t="shared" si="8"/>
        <v>0</v>
      </c>
      <c r="AU14" s="247">
        <f t="shared" si="8"/>
        <v>0</v>
      </c>
      <c r="AV14" s="247">
        <f t="shared" si="8"/>
        <v>0</v>
      </c>
      <c r="AW14" s="247">
        <f t="shared" si="8"/>
        <v>0</v>
      </c>
      <c r="AX14" s="247">
        <f t="shared" si="8"/>
        <v>0</v>
      </c>
      <c r="AY14" s="247">
        <f t="shared" si="8"/>
        <v>0</v>
      </c>
      <c r="AZ14" s="247">
        <f t="shared" si="8"/>
        <v>0</v>
      </c>
      <c r="BA14" s="247">
        <f t="shared" si="8"/>
        <v>0</v>
      </c>
      <c r="BB14" s="247">
        <f t="shared" si="8"/>
        <v>0</v>
      </c>
      <c r="BC14" s="247">
        <f t="shared" si="8"/>
        <v>0</v>
      </c>
      <c r="BD14" s="247">
        <f t="shared" si="8"/>
        <v>0</v>
      </c>
      <c r="BE14" s="247">
        <f t="shared" si="8"/>
        <v>0</v>
      </c>
      <c r="BF14" s="247">
        <f t="shared" si="8"/>
        <v>0</v>
      </c>
      <c r="BG14" s="247">
        <f t="shared" si="8"/>
        <v>0</v>
      </c>
      <c r="BH14" s="247">
        <f t="shared" si="8"/>
        <v>0</v>
      </c>
      <c r="BI14" s="247">
        <f t="shared" si="8"/>
        <v>0</v>
      </c>
      <c r="BJ14" s="247">
        <f t="shared" si="8"/>
        <v>0</v>
      </c>
      <c r="BK14" s="247">
        <f t="shared" si="8"/>
        <v>0</v>
      </c>
      <c r="BL14" s="247">
        <f t="shared" si="8"/>
        <v>0</v>
      </c>
      <c r="BM14" s="247">
        <f t="shared" si="8"/>
        <v>0</v>
      </c>
      <c r="BN14" s="247">
        <f t="shared" si="8"/>
        <v>0</v>
      </c>
      <c r="BO14" s="247">
        <f t="shared" si="8"/>
        <v>0</v>
      </c>
      <c r="BP14" s="247">
        <f t="shared" si="8"/>
        <v>0</v>
      </c>
      <c r="BQ14" s="247">
        <f t="shared" si="8"/>
        <v>0</v>
      </c>
      <c r="BR14" s="247">
        <f t="shared" ref="BR14:BY14" si="9">SUM(BR15:BR36)</f>
        <v>0</v>
      </c>
      <c r="BS14" s="247">
        <f t="shared" si="9"/>
        <v>0</v>
      </c>
      <c r="BT14" s="247">
        <f t="shared" si="9"/>
        <v>0</v>
      </c>
      <c r="BU14" s="247">
        <f t="shared" si="9"/>
        <v>0</v>
      </c>
      <c r="BV14" s="247">
        <f t="shared" si="9"/>
        <v>0</v>
      </c>
      <c r="BW14" s="247">
        <f t="shared" si="9"/>
        <v>0</v>
      </c>
      <c r="BX14" s="247">
        <f t="shared" si="9"/>
        <v>0</v>
      </c>
      <c r="BY14" s="247">
        <f t="shared" si="9"/>
        <v>0</v>
      </c>
    </row>
    <row r="15" spans="1:77">
      <c r="A15" s="69" t="s">
        <v>41</v>
      </c>
      <c r="B15" s="353" t="s">
        <v>324</v>
      </c>
      <c r="C15" s="393">
        <v>1</v>
      </c>
      <c r="D15" s="338">
        <v>18965.5</v>
      </c>
      <c r="E15" s="219">
        <f>C15*D15</f>
        <v>18965.5</v>
      </c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U15" s="70">
        <f>E15</f>
        <v>18965.5</v>
      </c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</row>
    <row r="16" spans="1:77">
      <c r="A16" s="69" t="s">
        <v>146</v>
      </c>
      <c r="B16" s="353" t="s">
        <v>325</v>
      </c>
      <c r="C16" s="393">
        <v>1</v>
      </c>
      <c r="D16" s="338">
        <v>15743.58</v>
      </c>
      <c r="E16" s="219">
        <f t="shared" ref="E16:E36" si="10">C16*D16</f>
        <v>15743.58</v>
      </c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>
        <f>E16</f>
        <v>15743.58</v>
      </c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</row>
    <row r="17" spans="1:77">
      <c r="A17" s="69" t="s">
        <v>453</v>
      </c>
      <c r="B17" s="353" t="s">
        <v>326</v>
      </c>
      <c r="C17" s="393">
        <v>1</v>
      </c>
      <c r="D17" s="338">
        <v>7569.8</v>
      </c>
      <c r="E17" s="219">
        <f t="shared" si="10"/>
        <v>7569.8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>
        <f>E17</f>
        <v>7569.8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</row>
    <row r="18" spans="1:77">
      <c r="A18" s="69" t="s">
        <v>454</v>
      </c>
      <c r="B18" s="353" t="s">
        <v>327</v>
      </c>
      <c r="C18" s="393">
        <v>1</v>
      </c>
      <c r="D18" s="338">
        <v>635.54999999999995</v>
      </c>
      <c r="E18" s="219">
        <f t="shared" si="10"/>
        <v>635.54999999999995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>
        <f>E18</f>
        <v>635.54999999999995</v>
      </c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</row>
    <row r="19" spans="1:77">
      <c r="A19" s="69" t="s">
        <v>455</v>
      </c>
      <c r="B19" s="353" t="s">
        <v>328</v>
      </c>
      <c r="C19" s="393">
        <v>1</v>
      </c>
      <c r="D19" s="338">
        <v>570.20000000000005</v>
      </c>
      <c r="E19" s="219">
        <f t="shared" si="10"/>
        <v>570.20000000000005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>
        <f>E19</f>
        <v>570.20000000000005</v>
      </c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</row>
    <row r="20" spans="1:77">
      <c r="A20" s="69" t="s">
        <v>456</v>
      </c>
      <c r="B20" s="353" t="s">
        <v>329</v>
      </c>
      <c r="C20" s="393">
        <v>1</v>
      </c>
      <c r="D20" s="338">
        <v>47.3</v>
      </c>
      <c r="E20" s="219">
        <f t="shared" si="10"/>
        <v>47.3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>
        <f>E20</f>
        <v>47.3</v>
      </c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</row>
    <row r="21" spans="1:77">
      <c r="A21" s="69" t="s">
        <v>457</v>
      </c>
      <c r="B21" s="353" t="s">
        <v>330</v>
      </c>
      <c r="C21" s="393">
        <v>1</v>
      </c>
      <c r="D21" s="338">
        <v>2027.53</v>
      </c>
      <c r="E21" s="219">
        <f t="shared" si="10"/>
        <v>2027.53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>
        <f t="shared" ref="Z21" si="11">E21</f>
        <v>2027.53</v>
      </c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</row>
    <row r="22" spans="1:77">
      <c r="A22" s="69" t="s">
        <v>458</v>
      </c>
      <c r="B22" s="353" t="s">
        <v>331</v>
      </c>
      <c r="C22" s="393">
        <v>1</v>
      </c>
      <c r="D22" s="338">
        <v>741</v>
      </c>
      <c r="E22" s="219">
        <f t="shared" si="10"/>
        <v>741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>
        <f>E22</f>
        <v>741</v>
      </c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</row>
    <row r="23" spans="1:77">
      <c r="A23" s="69" t="s">
        <v>459</v>
      </c>
      <c r="B23" s="353" t="s">
        <v>332</v>
      </c>
      <c r="C23" s="393">
        <v>1</v>
      </c>
      <c r="D23" s="338">
        <v>1553.5</v>
      </c>
      <c r="E23" s="219">
        <f t="shared" si="10"/>
        <v>1553.5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>
        <f>E23</f>
        <v>1553.5</v>
      </c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</row>
    <row r="24" spans="1:77">
      <c r="A24" s="69" t="s">
        <v>460</v>
      </c>
      <c r="B24" s="353" t="s">
        <v>333</v>
      </c>
      <c r="C24" s="393">
        <v>1</v>
      </c>
      <c r="D24" s="338">
        <v>732.8</v>
      </c>
      <c r="E24" s="219">
        <f t="shared" si="10"/>
        <v>732.8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>
        <f>E24</f>
        <v>732.8</v>
      </c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</row>
    <row r="25" spans="1:77">
      <c r="A25" s="69" t="s">
        <v>461</v>
      </c>
      <c r="B25" s="353" t="s">
        <v>334</v>
      </c>
      <c r="C25" s="393">
        <v>1</v>
      </c>
      <c r="D25" s="338">
        <v>766.5</v>
      </c>
      <c r="E25" s="219">
        <f t="shared" si="10"/>
        <v>766.5</v>
      </c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>
        <f t="shared" ref="U25:U36" si="12">E25</f>
        <v>766.5</v>
      </c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</row>
    <row r="26" spans="1:77">
      <c r="A26" s="69" t="s">
        <v>462</v>
      </c>
      <c r="B26" s="353" t="s">
        <v>335</v>
      </c>
      <c r="C26" s="393">
        <v>1</v>
      </c>
      <c r="D26" s="338">
        <v>2881.64</v>
      </c>
      <c r="E26" s="219">
        <f t="shared" si="10"/>
        <v>2881.64</v>
      </c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>
        <f t="shared" si="12"/>
        <v>2881.64</v>
      </c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</row>
    <row r="27" spans="1:77">
      <c r="A27" s="69" t="s">
        <v>463</v>
      </c>
      <c r="B27" s="353" t="s">
        <v>336</v>
      </c>
      <c r="C27" s="393">
        <v>1</v>
      </c>
      <c r="D27" s="338">
        <v>1345.8</v>
      </c>
      <c r="E27" s="219">
        <f t="shared" si="10"/>
        <v>1345.8</v>
      </c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>
        <f t="shared" si="12"/>
        <v>1345.8</v>
      </c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</row>
    <row r="28" spans="1:77">
      <c r="A28" s="69" t="s">
        <v>464</v>
      </c>
      <c r="B28" s="353" t="s">
        <v>337</v>
      </c>
      <c r="C28" s="393">
        <v>1</v>
      </c>
      <c r="D28" s="338">
        <v>408.3</v>
      </c>
      <c r="E28" s="219">
        <f t="shared" si="10"/>
        <v>408.3</v>
      </c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>
        <f t="shared" si="12"/>
        <v>408.3</v>
      </c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</row>
    <row r="29" spans="1:77">
      <c r="A29" s="69" t="s">
        <v>465</v>
      </c>
      <c r="B29" s="353" t="s">
        <v>338</v>
      </c>
      <c r="C29" s="393">
        <v>1</v>
      </c>
      <c r="D29" s="338">
        <v>2090.5</v>
      </c>
      <c r="E29" s="219">
        <f t="shared" si="10"/>
        <v>2090.5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>
        <f t="shared" si="12"/>
        <v>2090.5</v>
      </c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</row>
    <row r="30" spans="1:77">
      <c r="A30" s="69" t="s">
        <v>466</v>
      </c>
      <c r="B30" s="353" t="s">
        <v>339</v>
      </c>
      <c r="C30" s="393">
        <v>1</v>
      </c>
      <c r="D30" s="338">
        <v>278.8</v>
      </c>
      <c r="E30" s="219">
        <f t="shared" si="10"/>
        <v>278.8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>
        <f t="shared" si="12"/>
        <v>278.8</v>
      </c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</row>
    <row r="31" spans="1:77">
      <c r="A31" s="69" t="s">
        <v>467</v>
      </c>
      <c r="B31" s="353" t="s">
        <v>340</v>
      </c>
      <c r="C31" s="393">
        <v>1</v>
      </c>
      <c r="D31" s="338">
        <v>496.2</v>
      </c>
      <c r="E31" s="219">
        <f t="shared" si="10"/>
        <v>496.2</v>
      </c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>
        <f t="shared" si="12"/>
        <v>496.2</v>
      </c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</row>
    <row r="32" spans="1:77">
      <c r="A32" s="69" t="s">
        <v>468</v>
      </c>
      <c r="B32" s="353" t="s">
        <v>341</v>
      </c>
      <c r="C32" s="393">
        <v>1</v>
      </c>
      <c r="D32" s="338">
        <v>582.70000000000005</v>
      </c>
      <c r="E32" s="219">
        <f t="shared" si="10"/>
        <v>582.70000000000005</v>
      </c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>
        <f t="shared" si="12"/>
        <v>582.70000000000005</v>
      </c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</row>
    <row r="33" spans="1:77">
      <c r="A33" s="69" t="s">
        <v>469</v>
      </c>
      <c r="B33" s="353" t="s">
        <v>342</v>
      </c>
      <c r="C33" s="393">
        <v>1</v>
      </c>
      <c r="D33" s="338">
        <v>441.5</v>
      </c>
      <c r="E33" s="219">
        <f t="shared" si="10"/>
        <v>441.5</v>
      </c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>
        <f t="shared" si="12"/>
        <v>441.5</v>
      </c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</row>
    <row r="34" spans="1:77">
      <c r="A34" s="69" t="s">
        <v>470</v>
      </c>
      <c r="B34" s="353" t="s">
        <v>343</v>
      </c>
      <c r="C34" s="393">
        <v>1</v>
      </c>
      <c r="D34" s="338">
        <v>283</v>
      </c>
      <c r="E34" s="219">
        <f t="shared" si="10"/>
        <v>283</v>
      </c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70"/>
      <c r="T34" s="70"/>
      <c r="U34" s="70">
        <f t="shared" si="12"/>
        <v>283</v>
      </c>
      <c r="V34" s="70"/>
      <c r="W34" s="70"/>
      <c r="X34" s="70"/>
      <c r="Y34" s="70"/>
      <c r="Z34" s="70"/>
      <c r="AA34" s="70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</row>
    <row r="35" spans="1:77">
      <c r="A35" s="69" t="s">
        <v>471</v>
      </c>
      <c r="B35" s="353" t="s">
        <v>344</v>
      </c>
      <c r="C35" s="393">
        <v>1</v>
      </c>
      <c r="D35" s="338">
        <v>347.7</v>
      </c>
      <c r="E35" s="219">
        <f t="shared" si="10"/>
        <v>347.7</v>
      </c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70"/>
      <c r="T35" s="70"/>
      <c r="U35" s="70">
        <f t="shared" si="12"/>
        <v>347.7</v>
      </c>
      <c r="V35" s="70"/>
      <c r="W35" s="70"/>
      <c r="X35" s="70"/>
      <c r="Y35" s="70"/>
      <c r="Z35" s="70"/>
      <c r="AA35" s="70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</row>
    <row r="36" spans="1:77">
      <c r="A36" s="69" t="s">
        <v>472</v>
      </c>
      <c r="B36" s="353" t="s">
        <v>345</v>
      </c>
      <c r="C36" s="393">
        <v>1</v>
      </c>
      <c r="D36" s="338">
        <v>656.75</v>
      </c>
      <c r="E36" s="219">
        <f t="shared" si="10"/>
        <v>656.75</v>
      </c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70"/>
      <c r="T36" s="70"/>
      <c r="U36" s="70">
        <f t="shared" si="12"/>
        <v>656.75</v>
      </c>
      <c r="V36" s="70"/>
      <c r="W36" s="70"/>
      <c r="X36" s="70"/>
      <c r="Y36" s="70"/>
      <c r="Z36" s="70"/>
      <c r="AA36" s="70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5"/>
      <c r="AU36" s="275"/>
      <c r="AV36" s="275"/>
      <c r="AW36" s="275"/>
      <c r="AX36" s="275"/>
      <c r="AY36" s="275"/>
      <c r="AZ36" s="275"/>
      <c r="BA36" s="275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</row>
    <row r="37" spans="1:77">
      <c r="A37" s="270">
        <v>4</v>
      </c>
      <c r="B37" s="246" t="s">
        <v>425</v>
      </c>
      <c r="C37" s="247">
        <v>1</v>
      </c>
      <c r="D37" s="247">
        <v>45638.735266666699</v>
      </c>
      <c r="E37" s="247">
        <f>C37*D37</f>
        <v>45638.735266666699</v>
      </c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>
        <f>$E$37/5</f>
        <v>9127.7470533333399</v>
      </c>
      <c r="AJ37" s="247">
        <f t="shared" ref="AJ37:AM37" si="13">$E$37/5</f>
        <v>9127.7470533333399</v>
      </c>
      <c r="AK37" s="247">
        <f t="shared" si="13"/>
        <v>9127.7470533333399</v>
      </c>
      <c r="AL37" s="247">
        <f t="shared" si="13"/>
        <v>9127.7470533333399</v>
      </c>
      <c r="AM37" s="247">
        <f t="shared" si="13"/>
        <v>9127.7470533333399</v>
      </c>
      <c r="AN37" s="247"/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  <c r="AY37" s="247"/>
      <c r="AZ37" s="247"/>
      <c r="BA37" s="247"/>
      <c r="BB37" s="247"/>
      <c r="BC37" s="247"/>
      <c r="BD37" s="247"/>
      <c r="BE37" s="247"/>
      <c r="BF37" s="247"/>
      <c r="BG37" s="247"/>
      <c r="BH37" s="247"/>
      <c r="BI37" s="247"/>
      <c r="BJ37" s="247"/>
      <c r="BK37" s="247"/>
      <c r="BL37" s="247"/>
      <c r="BM37" s="247"/>
      <c r="BN37" s="247"/>
      <c r="BO37" s="247"/>
      <c r="BP37" s="247"/>
      <c r="BQ37" s="247"/>
      <c r="BR37" s="247"/>
      <c r="BS37" s="247"/>
      <c r="BT37" s="247"/>
      <c r="BU37" s="247"/>
      <c r="BV37" s="247"/>
      <c r="BW37" s="247"/>
      <c r="BX37" s="247"/>
      <c r="BY37" s="247"/>
    </row>
    <row r="38" spans="1:77">
      <c r="A38" s="270">
        <v>5</v>
      </c>
      <c r="B38" s="246" t="s">
        <v>426</v>
      </c>
      <c r="C38" s="247">
        <v>1</v>
      </c>
      <c r="D38" s="247">
        <v>50202.608793333296</v>
      </c>
      <c r="E38" s="247">
        <f t="shared" ref="E38:E39" si="14">C38*D38</f>
        <v>50202.608793333296</v>
      </c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>
        <f>$E$38/5</f>
        <v>10040.521758666659</v>
      </c>
      <c r="AV38" s="247">
        <f t="shared" ref="AV38:AY38" si="15">$E$38/5</f>
        <v>10040.521758666659</v>
      </c>
      <c r="AW38" s="247">
        <f t="shared" si="15"/>
        <v>10040.521758666659</v>
      </c>
      <c r="AX38" s="247">
        <f t="shared" si="15"/>
        <v>10040.521758666659</v>
      </c>
      <c r="AY38" s="247">
        <f t="shared" si="15"/>
        <v>10040.521758666659</v>
      </c>
      <c r="AZ38" s="247"/>
      <c r="BA38" s="247"/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7"/>
      <c r="BR38" s="247"/>
      <c r="BS38" s="247"/>
      <c r="BT38" s="247"/>
      <c r="BU38" s="247"/>
      <c r="BV38" s="247"/>
      <c r="BW38" s="247"/>
      <c r="BX38" s="247"/>
      <c r="BY38" s="247"/>
    </row>
    <row r="39" spans="1:77">
      <c r="A39" s="270">
        <v>6</v>
      </c>
      <c r="B39" s="246" t="s">
        <v>427</v>
      </c>
      <c r="C39" s="247">
        <v>1</v>
      </c>
      <c r="D39" s="247">
        <v>55222.869672666697</v>
      </c>
      <c r="E39" s="247">
        <f t="shared" si="14"/>
        <v>55222.869672666697</v>
      </c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  <c r="AY39" s="247"/>
      <c r="AZ39" s="247"/>
      <c r="BA39" s="247"/>
      <c r="BB39" s="247"/>
      <c r="BC39" s="247"/>
      <c r="BD39" s="247"/>
      <c r="BE39" s="247"/>
      <c r="BF39" s="247"/>
      <c r="BG39" s="247">
        <f>$E$39/5</f>
        <v>11044.573934533339</v>
      </c>
      <c r="BH39" s="247">
        <f t="shared" ref="BH39:BK39" si="16">$E$39/5</f>
        <v>11044.573934533339</v>
      </c>
      <c r="BI39" s="247">
        <f t="shared" si="16"/>
        <v>11044.573934533339</v>
      </c>
      <c r="BJ39" s="247">
        <f t="shared" si="16"/>
        <v>11044.573934533339</v>
      </c>
      <c r="BK39" s="247">
        <f t="shared" si="16"/>
        <v>11044.573934533339</v>
      </c>
      <c r="BL39" s="247"/>
      <c r="BM39" s="247"/>
      <c r="BN39" s="247"/>
      <c r="BO39" s="247"/>
      <c r="BP39" s="247"/>
      <c r="BQ39" s="247"/>
      <c r="BR39" s="247"/>
      <c r="BS39" s="247"/>
      <c r="BT39" s="247"/>
      <c r="BU39" s="247"/>
      <c r="BV39" s="247"/>
      <c r="BW39" s="247"/>
      <c r="BX39" s="247"/>
      <c r="BY39" s="247"/>
    </row>
    <row r="40" spans="1:77" s="25" customFormat="1" ht="13.15" customHeight="1">
      <c r="A40" s="245" t="s">
        <v>400</v>
      </c>
      <c r="B40" s="246" t="s">
        <v>197</v>
      </c>
      <c r="C40" s="394"/>
      <c r="D40" s="270"/>
      <c r="E40" s="247">
        <f>SUM(F40:BA40)</f>
        <v>16387.16</v>
      </c>
      <c r="F40" s="247">
        <f t="shared" ref="F40:AK40" si="17">SUM(F41:F67)</f>
        <v>0</v>
      </c>
      <c r="G40" s="247">
        <f t="shared" si="17"/>
        <v>0</v>
      </c>
      <c r="H40" s="247">
        <f t="shared" si="17"/>
        <v>0</v>
      </c>
      <c r="I40" s="247">
        <f t="shared" si="17"/>
        <v>0</v>
      </c>
      <c r="J40" s="247">
        <f t="shared" si="17"/>
        <v>0</v>
      </c>
      <c r="K40" s="247">
        <f t="shared" si="17"/>
        <v>0</v>
      </c>
      <c r="L40" s="247">
        <f t="shared" si="17"/>
        <v>0</v>
      </c>
      <c r="M40" s="247">
        <f t="shared" si="17"/>
        <v>0</v>
      </c>
      <c r="N40" s="247">
        <f t="shared" si="17"/>
        <v>0</v>
      </c>
      <c r="O40" s="247">
        <f t="shared" si="17"/>
        <v>0</v>
      </c>
      <c r="P40" s="247">
        <f t="shared" si="17"/>
        <v>0</v>
      </c>
      <c r="Q40" s="247">
        <f t="shared" si="17"/>
        <v>1012</v>
      </c>
      <c r="R40" s="247">
        <f t="shared" si="17"/>
        <v>0</v>
      </c>
      <c r="S40" s="247">
        <f t="shared" si="17"/>
        <v>0</v>
      </c>
      <c r="T40" s="247">
        <f t="shared" si="17"/>
        <v>0</v>
      </c>
      <c r="U40" s="247">
        <f t="shared" si="17"/>
        <v>0</v>
      </c>
      <c r="V40" s="247">
        <f t="shared" si="17"/>
        <v>0</v>
      </c>
      <c r="W40" s="247">
        <f t="shared" si="17"/>
        <v>0</v>
      </c>
      <c r="X40" s="247">
        <f t="shared" si="17"/>
        <v>0</v>
      </c>
      <c r="Y40" s="247">
        <f t="shared" si="17"/>
        <v>0</v>
      </c>
      <c r="Z40" s="247">
        <f t="shared" si="17"/>
        <v>3075.0320000000002</v>
      </c>
      <c r="AA40" s="247">
        <f t="shared" si="17"/>
        <v>12300.128000000001</v>
      </c>
      <c r="AB40" s="247">
        <f t="shared" si="17"/>
        <v>0</v>
      </c>
      <c r="AC40" s="247">
        <f t="shared" si="17"/>
        <v>0</v>
      </c>
      <c r="AD40" s="247">
        <f t="shared" si="17"/>
        <v>0</v>
      </c>
      <c r="AE40" s="247">
        <f t="shared" si="17"/>
        <v>0</v>
      </c>
      <c r="AF40" s="247">
        <f t="shared" si="17"/>
        <v>0</v>
      </c>
      <c r="AG40" s="247">
        <f t="shared" si="17"/>
        <v>0</v>
      </c>
      <c r="AH40" s="247">
        <f t="shared" si="17"/>
        <v>0</v>
      </c>
      <c r="AI40" s="247">
        <f t="shared" si="17"/>
        <v>0</v>
      </c>
      <c r="AJ40" s="247">
        <f t="shared" si="17"/>
        <v>0</v>
      </c>
      <c r="AK40" s="247">
        <f t="shared" si="17"/>
        <v>0</v>
      </c>
      <c r="AL40" s="247">
        <f t="shared" ref="AL40:BQ40" si="18">SUM(AL41:AL67)</f>
        <v>0</v>
      </c>
      <c r="AM40" s="247">
        <f t="shared" si="18"/>
        <v>0</v>
      </c>
      <c r="AN40" s="247">
        <f t="shared" si="18"/>
        <v>0</v>
      </c>
      <c r="AO40" s="247">
        <f t="shared" si="18"/>
        <v>0</v>
      </c>
      <c r="AP40" s="247">
        <f t="shared" si="18"/>
        <v>0</v>
      </c>
      <c r="AQ40" s="247">
        <f t="shared" si="18"/>
        <v>0</v>
      </c>
      <c r="AR40" s="247">
        <f t="shared" si="18"/>
        <v>0</v>
      </c>
      <c r="AS40" s="247">
        <f t="shared" si="18"/>
        <v>0</v>
      </c>
      <c r="AT40" s="247">
        <f t="shared" si="18"/>
        <v>0</v>
      </c>
      <c r="AU40" s="247">
        <f t="shared" si="18"/>
        <v>0</v>
      </c>
      <c r="AV40" s="247">
        <f t="shared" si="18"/>
        <v>0</v>
      </c>
      <c r="AW40" s="247">
        <f t="shared" si="18"/>
        <v>0</v>
      </c>
      <c r="AX40" s="247">
        <f t="shared" si="18"/>
        <v>0</v>
      </c>
      <c r="AY40" s="247">
        <f t="shared" si="18"/>
        <v>0</v>
      </c>
      <c r="AZ40" s="247">
        <f t="shared" si="18"/>
        <v>0</v>
      </c>
      <c r="BA40" s="247">
        <f t="shared" si="18"/>
        <v>0</v>
      </c>
      <c r="BB40" s="247">
        <f t="shared" si="18"/>
        <v>0</v>
      </c>
      <c r="BC40" s="247">
        <f t="shared" si="18"/>
        <v>0</v>
      </c>
      <c r="BD40" s="247">
        <f t="shared" si="18"/>
        <v>0</v>
      </c>
      <c r="BE40" s="247">
        <f t="shared" si="18"/>
        <v>0</v>
      </c>
      <c r="BF40" s="247">
        <f t="shared" si="18"/>
        <v>0</v>
      </c>
      <c r="BG40" s="247">
        <f t="shared" si="18"/>
        <v>0</v>
      </c>
      <c r="BH40" s="247">
        <f t="shared" si="18"/>
        <v>0</v>
      </c>
      <c r="BI40" s="247">
        <f t="shared" si="18"/>
        <v>0</v>
      </c>
      <c r="BJ40" s="247">
        <f t="shared" si="18"/>
        <v>0</v>
      </c>
      <c r="BK40" s="247">
        <f t="shared" si="18"/>
        <v>0</v>
      </c>
      <c r="BL40" s="247">
        <f t="shared" si="18"/>
        <v>0</v>
      </c>
      <c r="BM40" s="247">
        <f t="shared" si="18"/>
        <v>0</v>
      </c>
      <c r="BN40" s="247">
        <f t="shared" si="18"/>
        <v>0</v>
      </c>
      <c r="BO40" s="247">
        <f t="shared" si="18"/>
        <v>0</v>
      </c>
      <c r="BP40" s="247">
        <f t="shared" si="18"/>
        <v>0</v>
      </c>
      <c r="BQ40" s="247">
        <f t="shared" si="18"/>
        <v>0</v>
      </c>
      <c r="BR40" s="247">
        <f t="shared" ref="BR40:BY40" si="19">SUM(BR41:BR67)</f>
        <v>0</v>
      </c>
      <c r="BS40" s="247">
        <f t="shared" si="19"/>
        <v>0</v>
      </c>
      <c r="BT40" s="247">
        <f t="shared" si="19"/>
        <v>0</v>
      </c>
      <c r="BU40" s="247">
        <f t="shared" si="19"/>
        <v>0</v>
      </c>
      <c r="BV40" s="247">
        <f t="shared" si="19"/>
        <v>0</v>
      </c>
      <c r="BW40" s="247">
        <f t="shared" si="19"/>
        <v>0</v>
      </c>
      <c r="BX40" s="247">
        <f t="shared" si="19"/>
        <v>0</v>
      </c>
      <c r="BY40" s="247">
        <f t="shared" si="19"/>
        <v>0</v>
      </c>
    </row>
    <row r="41" spans="1:77" s="336" customFormat="1">
      <c r="A41" s="337" t="s">
        <v>473</v>
      </c>
      <c r="B41" s="384" t="s">
        <v>354</v>
      </c>
      <c r="C41" s="393">
        <v>1</v>
      </c>
      <c r="D41" s="338">
        <v>60</v>
      </c>
      <c r="E41" s="219">
        <f>C41*D41</f>
        <v>60</v>
      </c>
      <c r="F41" s="335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>
        <f>E41</f>
        <v>60</v>
      </c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</row>
    <row r="42" spans="1:77" s="339" customFormat="1">
      <c r="A42" s="337" t="s">
        <v>474</v>
      </c>
      <c r="B42" s="384" t="s">
        <v>355</v>
      </c>
      <c r="C42" s="393">
        <v>2</v>
      </c>
      <c r="D42" s="338">
        <v>476</v>
      </c>
      <c r="E42" s="219">
        <f t="shared" ref="E42:E67" si="20">C42*D42</f>
        <v>952</v>
      </c>
      <c r="F42" s="338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>
        <f>E42</f>
        <v>952</v>
      </c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</row>
    <row r="43" spans="1:77" s="339" customFormat="1" ht="25.5">
      <c r="A43" s="337" t="s">
        <v>475</v>
      </c>
      <c r="B43" s="353" t="s">
        <v>356</v>
      </c>
      <c r="C43" s="393">
        <v>3</v>
      </c>
      <c r="D43" s="338">
        <v>91.9</v>
      </c>
      <c r="E43" s="219">
        <f t="shared" si="20"/>
        <v>275.70000000000005</v>
      </c>
      <c r="F43" s="338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>
        <f>E43*0.2</f>
        <v>55.140000000000015</v>
      </c>
      <c r="AA43" s="70">
        <f t="shared" ref="AA43:AA45" si="21">E43*0.8</f>
        <v>220.56000000000006</v>
      </c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</row>
    <row r="44" spans="1:77" s="339" customFormat="1" ht="25.5">
      <c r="A44" s="337" t="s">
        <v>476</v>
      </c>
      <c r="B44" s="353" t="s">
        <v>357</v>
      </c>
      <c r="C44" s="393">
        <v>1</v>
      </c>
      <c r="D44" s="338">
        <v>351</v>
      </c>
      <c r="E44" s="219">
        <f t="shared" si="20"/>
        <v>351</v>
      </c>
      <c r="F44" s="338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>
        <f t="shared" ref="Z44:Z45" si="22">E44*0.2</f>
        <v>70.2</v>
      </c>
      <c r="AA44" s="70">
        <f t="shared" si="21"/>
        <v>280.8</v>
      </c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</row>
    <row r="45" spans="1:77" s="339" customFormat="1">
      <c r="A45" s="337" t="s">
        <v>477</v>
      </c>
      <c r="B45" s="353" t="s">
        <v>358</v>
      </c>
      <c r="C45" s="393">
        <v>1</v>
      </c>
      <c r="D45" s="338">
        <v>114</v>
      </c>
      <c r="E45" s="219">
        <f t="shared" si="20"/>
        <v>114</v>
      </c>
      <c r="F45" s="338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>
        <f t="shared" si="22"/>
        <v>22.8</v>
      </c>
      <c r="AA45" s="70">
        <f t="shared" si="21"/>
        <v>91.2</v>
      </c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</row>
    <row r="46" spans="1:77" s="339" customFormat="1">
      <c r="A46" s="337" t="s">
        <v>478</v>
      </c>
      <c r="B46" s="385" t="s">
        <v>360</v>
      </c>
      <c r="C46" s="393">
        <v>1</v>
      </c>
      <c r="D46" s="338">
        <v>6101</v>
      </c>
      <c r="E46" s="219">
        <f t="shared" si="20"/>
        <v>6101</v>
      </c>
      <c r="F46" s="338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>
        <f>E46*0.2</f>
        <v>1220.2</v>
      </c>
      <c r="AA46" s="70">
        <f>E46*0.8</f>
        <v>4880.8</v>
      </c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</row>
    <row r="47" spans="1:77" s="339" customFormat="1">
      <c r="A47" s="337" t="s">
        <v>479</v>
      </c>
      <c r="B47" s="385" t="s">
        <v>361</v>
      </c>
      <c r="C47" s="393">
        <v>1</v>
      </c>
      <c r="D47" s="338">
        <v>5550</v>
      </c>
      <c r="E47" s="219">
        <f t="shared" si="20"/>
        <v>5550</v>
      </c>
      <c r="F47" s="338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>
        <f>E47*0.2</f>
        <v>1110</v>
      </c>
      <c r="AA47" s="70">
        <f>E47*0.8</f>
        <v>4440</v>
      </c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</row>
    <row r="48" spans="1:77" s="339" customFormat="1">
      <c r="A48" s="337" t="s">
        <v>480</v>
      </c>
      <c r="B48" s="353" t="s">
        <v>362</v>
      </c>
      <c r="C48" s="393">
        <v>1</v>
      </c>
      <c r="D48" s="338">
        <v>772</v>
      </c>
      <c r="E48" s="219">
        <f t="shared" si="20"/>
        <v>772</v>
      </c>
      <c r="F48" s="338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>
        <f t="shared" ref="Z48:Z67" si="23">E48*0.2</f>
        <v>154.4</v>
      </c>
      <c r="AA48" s="70">
        <f t="shared" ref="AA48:AA67" si="24">E48*0.8</f>
        <v>617.6</v>
      </c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</row>
    <row r="49" spans="1:77" s="339" customFormat="1">
      <c r="A49" s="337" t="s">
        <v>481</v>
      </c>
      <c r="B49" s="353" t="s">
        <v>378</v>
      </c>
      <c r="C49" s="393">
        <v>1</v>
      </c>
      <c r="D49" s="338">
        <v>750</v>
      </c>
      <c r="E49" s="219">
        <f t="shared" si="20"/>
        <v>750</v>
      </c>
      <c r="F49" s="338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>
        <f t="shared" si="23"/>
        <v>150</v>
      </c>
      <c r="AA49" s="70">
        <f t="shared" si="24"/>
        <v>600</v>
      </c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</row>
    <row r="50" spans="1:77" s="339" customFormat="1" ht="25.5">
      <c r="A50" s="337" t="s">
        <v>482</v>
      </c>
      <c r="B50" s="353" t="s">
        <v>363</v>
      </c>
      <c r="C50" s="393">
        <v>2</v>
      </c>
      <c r="D50" s="338">
        <v>45</v>
      </c>
      <c r="E50" s="219">
        <f t="shared" si="20"/>
        <v>90</v>
      </c>
      <c r="F50" s="338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>
        <f t="shared" si="23"/>
        <v>18</v>
      </c>
      <c r="AA50" s="70">
        <f t="shared" si="24"/>
        <v>72</v>
      </c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</row>
    <row r="51" spans="1:77" s="339" customFormat="1">
      <c r="A51" s="337" t="s">
        <v>483</v>
      </c>
      <c r="B51" s="353" t="s">
        <v>364</v>
      </c>
      <c r="C51" s="393">
        <v>1</v>
      </c>
      <c r="D51" s="338">
        <v>40</v>
      </c>
      <c r="E51" s="219">
        <f t="shared" si="20"/>
        <v>40</v>
      </c>
      <c r="F51" s="338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>
        <f t="shared" si="23"/>
        <v>8</v>
      </c>
      <c r="AA51" s="70">
        <f t="shared" si="24"/>
        <v>32</v>
      </c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</row>
    <row r="52" spans="1:77" s="339" customFormat="1" ht="25.5">
      <c r="A52" s="337" t="s">
        <v>484</v>
      </c>
      <c r="B52" s="353" t="s">
        <v>365</v>
      </c>
      <c r="C52" s="393">
        <v>3</v>
      </c>
      <c r="D52" s="338">
        <v>10</v>
      </c>
      <c r="E52" s="219">
        <f t="shared" si="20"/>
        <v>30</v>
      </c>
      <c r="F52" s="338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>
        <f t="shared" si="23"/>
        <v>6</v>
      </c>
      <c r="AA52" s="70">
        <f t="shared" si="24"/>
        <v>24</v>
      </c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</row>
    <row r="53" spans="1:77" s="339" customFormat="1" ht="25.5">
      <c r="A53" s="337" t="s">
        <v>485</v>
      </c>
      <c r="B53" s="353" t="s">
        <v>366</v>
      </c>
      <c r="C53" s="393">
        <v>1</v>
      </c>
      <c r="D53" s="338">
        <v>50</v>
      </c>
      <c r="E53" s="219">
        <f t="shared" si="20"/>
        <v>50</v>
      </c>
      <c r="F53" s="338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>
        <f t="shared" si="23"/>
        <v>10</v>
      </c>
      <c r="AA53" s="70">
        <f t="shared" si="24"/>
        <v>40</v>
      </c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</row>
    <row r="54" spans="1:77" s="339" customFormat="1">
      <c r="A54" s="337" t="s">
        <v>486</v>
      </c>
      <c r="B54" s="353" t="s">
        <v>367</v>
      </c>
      <c r="C54" s="393">
        <v>3</v>
      </c>
      <c r="D54" s="338">
        <v>10.6</v>
      </c>
      <c r="E54" s="219">
        <f t="shared" si="20"/>
        <v>31.799999999999997</v>
      </c>
      <c r="F54" s="338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>
        <f t="shared" si="23"/>
        <v>6.3599999999999994</v>
      </c>
      <c r="AA54" s="70">
        <f t="shared" si="24"/>
        <v>25.439999999999998</v>
      </c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</row>
    <row r="55" spans="1:77" s="339" customFormat="1">
      <c r="A55" s="337" t="s">
        <v>487</v>
      </c>
      <c r="B55" s="353" t="s">
        <v>368</v>
      </c>
      <c r="C55" s="393">
        <v>1</v>
      </c>
      <c r="D55" s="338">
        <v>10</v>
      </c>
      <c r="E55" s="219">
        <f t="shared" si="20"/>
        <v>10</v>
      </c>
      <c r="F55" s="338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>
        <f t="shared" si="23"/>
        <v>2</v>
      </c>
      <c r="AA55" s="70">
        <f t="shared" si="24"/>
        <v>8</v>
      </c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</row>
    <row r="56" spans="1:77" s="339" customFormat="1">
      <c r="A56" s="337" t="s">
        <v>488</v>
      </c>
      <c r="B56" s="353" t="s">
        <v>369</v>
      </c>
      <c r="C56" s="393">
        <v>3</v>
      </c>
      <c r="D56" s="338">
        <v>20</v>
      </c>
      <c r="E56" s="219">
        <f t="shared" si="20"/>
        <v>60</v>
      </c>
      <c r="F56" s="338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>
        <f t="shared" si="23"/>
        <v>12</v>
      </c>
      <c r="AA56" s="70">
        <f t="shared" si="24"/>
        <v>48</v>
      </c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</row>
    <row r="57" spans="1:77" s="339" customFormat="1">
      <c r="A57" s="337" t="s">
        <v>489</v>
      </c>
      <c r="B57" s="353" t="s">
        <v>370</v>
      </c>
      <c r="C57" s="393">
        <v>2</v>
      </c>
      <c r="D57" s="338">
        <v>9.1999999999999993</v>
      </c>
      <c r="E57" s="219">
        <f t="shared" si="20"/>
        <v>18.399999999999999</v>
      </c>
      <c r="F57" s="338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>
        <f t="shared" si="23"/>
        <v>3.6799999999999997</v>
      </c>
      <c r="AA57" s="70">
        <f t="shared" si="24"/>
        <v>14.719999999999999</v>
      </c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</row>
    <row r="58" spans="1:77" s="339" customFormat="1">
      <c r="A58" s="337" t="s">
        <v>490</v>
      </c>
      <c r="B58" s="353" t="s">
        <v>371</v>
      </c>
      <c r="C58" s="393">
        <v>9</v>
      </c>
      <c r="D58" s="338">
        <v>11</v>
      </c>
      <c r="E58" s="219">
        <f t="shared" si="20"/>
        <v>99</v>
      </c>
      <c r="F58" s="338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>
        <f t="shared" si="23"/>
        <v>19.8</v>
      </c>
      <c r="AA58" s="70">
        <f t="shared" si="24"/>
        <v>79.2</v>
      </c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</row>
    <row r="59" spans="1:77" s="339" customFormat="1">
      <c r="A59" s="337" t="s">
        <v>491</v>
      </c>
      <c r="B59" s="353" t="s">
        <v>372</v>
      </c>
      <c r="C59" s="393">
        <v>2</v>
      </c>
      <c r="D59" s="338">
        <v>23</v>
      </c>
      <c r="E59" s="219">
        <f t="shared" si="20"/>
        <v>46</v>
      </c>
      <c r="F59" s="338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>
        <f t="shared" si="23"/>
        <v>9.2000000000000011</v>
      </c>
      <c r="AA59" s="70">
        <f t="shared" si="24"/>
        <v>36.800000000000004</v>
      </c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</row>
    <row r="60" spans="1:77" s="339" customFormat="1" ht="25.5">
      <c r="A60" s="337" t="s">
        <v>492</v>
      </c>
      <c r="B60" s="353" t="s">
        <v>373</v>
      </c>
      <c r="C60" s="393">
        <v>1</v>
      </c>
      <c r="D60" s="338">
        <v>4.8</v>
      </c>
      <c r="E60" s="219">
        <f t="shared" si="20"/>
        <v>4.8</v>
      </c>
      <c r="F60" s="338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>
        <f t="shared" si="23"/>
        <v>0.96</v>
      </c>
      <c r="AA60" s="70">
        <f t="shared" si="24"/>
        <v>3.84</v>
      </c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</row>
    <row r="61" spans="1:77" s="339" customFormat="1">
      <c r="A61" s="337" t="s">
        <v>493</v>
      </c>
      <c r="B61" s="353" t="s">
        <v>374</v>
      </c>
      <c r="C61" s="393">
        <v>2</v>
      </c>
      <c r="D61" s="338">
        <v>6.49</v>
      </c>
      <c r="E61" s="219">
        <f t="shared" si="20"/>
        <v>12.98</v>
      </c>
      <c r="F61" s="338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>
        <f t="shared" si="23"/>
        <v>2.5960000000000001</v>
      </c>
      <c r="AA61" s="70">
        <f t="shared" si="24"/>
        <v>10.384</v>
      </c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</row>
    <row r="62" spans="1:77" s="339" customFormat="1">
      <c r="A62" s="337" t="s">
        <v>494</v>
      </c>
      <c r="B62" s="353" t="s">
        <v>375</v>
      </c>
      <c r="C62" s="393">
        <v>3</v>
      </c>
      <c r="D62" s="338">
        <v>3.9</v>
      </c>
      <c r="E62" s="219">
        <f t="shared" si="20"/>
        <v>11.7</v>
      </c>
      <c r="F62" s="338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>
        <f t="shared" si="23"/>
        <v>2.34</v>
      </c>
      <c r="AA62" s="70">
        <f t="shared" si="24"/>
        <v>9.36</v>
      </c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</row>
    <row r="63" spans="1:77" s="339" customFormat="1">
      <c r="A63" s="337" t="s">
        <v>495</v>
      </c>
      <c r="B63" s="353" t="s">
        <v>376</v>
      </c>
      <c r="C63" s="393">
        <v>3</v>
      </c>
      <c r="D63" s="338">
        <v>12</v>
      </c>
      <c r="E63" s="219">
        <f t="shared" si="20"/>
        <v>36</v>
      </c>
      <c r="F63" s="338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>
        <f t="shared" si="23"/>
        <v>7.2</v>
      </c>
      <c r="AA63" s="70">
        <f t="shared" si="24"/>
        <v>28.8</v>
      </c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</row>
    <row r="64" spans="1:77" s="339" customFormat="1" ht="25.5">
      <c r="A64" s="337" t="s">
        <v>496</v>
      </c>
      <c r="B64" s="353" t="s">
        <v>377</v>
      </c>
      <c r="C64" s="393">
        <v>1</v>
      </c>
      <c r="D64" s="338">
        <v>10.78</v>
      </c>
      <c r="E64" s="219">
        <f t="shared" si="20"/>
        <v>10.78</v>
      </c>
      <c r="F64" s="338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>
        <f t="shared" si="23"/>
        <v>2.1560000000000001</v>
      </c>
      <c r="AA64" s="70">
        <f t="shared" si="24"/>
        <v>8.6240000000000006</v>
      </c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</row>
    <row r="65" spans="1:125" s="339" customFormat="1">
      <c r="A65" s="337" t="s">
        <v>497</v>
      </c>
      <c r="B65" s="353" t="s">
        <v>379</v>
      </c>
      <c r="C65" s="393">
        <v>2</v>
      </c>
      <c r="D65" s="338">
        <v>430</v>
      </c>
      <c r="E65" s="219">
        <f t="shared" si="20"/>
        <v>860</v>
      </c>
      <c r="F65" s="338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>
        <f t="shared" si="23"/>
        <v>172</v>
      </c>
      <c r="AA65" s="70">
        <f t="shared" si="24"/>
        <v>688</v>
      </c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</row>
    <row r="66" spans="1:125" s="339" customFormat="1">
      <c r="A66" s="337" t="s">
        <v>498</v>
      </c>
      <c r="B66" s="353" t="s">
        <v>380</v>
      </c>
      <c r="C66" s="393">
        <v>1</v>
      </c>
      <c r="D66" s="338">
        <v>30</v>
      </c>
      <c r="E66" s="219">
        <f t="shared" si="20"/>
        <v>30</v>
      </c>
      <c r="F66" s="338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>
        <f t="shared" si="23"/>
        <v>6</v>
      </c>
      <c r="AA66" s="70">
        <f t="shared" si="24"/>
        <v>24</v>
      </c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</row>
    <row r="67" spans="1:125" s="339" customFormat="1">
      <c r="A67" s="337" t="s">
        <v>499</v>
      </c>
      <c r="B67" s="353" t="s">
        <v>381</v>
      </c>
      <c r="C67" s="393">
        <v>1</v>
      </c>
      <c r="D67" s="338">
        <v>20</v>
      </c>
      <c r="E67" s="219">
        <f t="shared" si="20"/>
        <v>20</v>
      </c>
      <c r="F67" s="338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>
        <f t="shared" si="23"/>
        <v>4</v>
      </c>
      <c r="AA67" s="70">
        <f t="shared" si="24"/>
        <v>16</v>
      </c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</row>
    <row r="68" spans="1:125" s="25" customFormat="1" ht="13.15" customHeight="1">
      <c r="A68" s="245" t="s">
        <v>401</v>
      </c>
      <c r="B68" s="246" t="s">
        <v>108</v>
      </c>
      <c r="C68" s="246"/>
      <c r="D68" s="246"/>
      <c r="E68" s="247">
        <f>SUM(F68:BA68)</f>
        <v>49000</v>
      </c>
      <c r="F68" s="247">
        <f>F69+F70+F71+F72</f>
        <v>0</v>
      </c>
      <c r="G68" s="247">
        <f t="shared" ref="G68:BR68" si="25">G69+G70+G71+G72</f>
        <v>0</v>
      </c>
      <c r="H68" s="247">
        <f t="shared" si="25"/>
        <v>0</v>
      </c>
      <c r="I68" s="247">
        <f t="shared" si="25"/>
        <v>0</v>
      </c>
      <c r="J68" s="247">
        <f t="shared" si="25"/>
        <v>0</v>
      </c>
      <c r="K68" s="247">
        <f t="shared" si="25"/>
        <v>0</v>
      </c>
      <c r="L68" s="247">
        <f t="shared" si="25"/>
        <v>0</v>
      </c>
      <c r="M68" s="247">
        <f t="shared" si="25"/>
        <v>0</v>
      </c>
      <c r="N68" s="247">
        <f t="shared" si="25"/>
        <v>0</v>
      </c>
      <c r="O68" s="247">
        <f t="shared" si="25"/>
        <v>0</v>
      </c>
      <c r="P68" s="247">
        <f t="shared" si="25"/>
        <v>0</v>
      </c>
      <c r="Q68" s="247">
        <f t="shared" si="25"/>
        <v>0</v>
      </c>
      <c r="R68" s="247">
        <f t="shared" si="25"/>
        <v>0</v>
      </c>
      <c r="S68" s="247">
        <f t="shared" si="25"/>
        <v>0</v>
      </c>
      <c r="T68" s="247">
        <f t="shared" si="25"/>
        <v>0</v>
      </c>
      <c r="U68" s="247">
        <f t="shared" si="25"/>
        <v>0</v>
      </c>
      <c r="V68" s="247">
        <f t="shared" si="25"/>
        <v>0</v>
      </c>
      <c r="W68" s="247">
        <f t="shared" si="25"/>
        <v>0</v>
      </c>
      <c r="X68" s="247">
        <f t="shared" si="25"/>
        <v>0</v>
      </c>
      <c r="Y68" s="247">
        <f t="shared" si="25"/>
        <v>0</v>
      </c>
      <c r="Z68" s="247">
        <f t="shared" si="25"/>
        <v>9800</v>
      </c>
      <c r="AA68" s="247">
        <f t="shared" si="25"/>
        <v>39200</v>
      </c>
      <c r="AB68" s="247">
        <f t="shared" si="25"/>
        <v>0</v>
      </c>
      <c r="AC68" s="247">
        <f t="shared" si="25"/>
        <v>0</v>
      </c>
      <c r="AD68" s="247">
        <f t="shared" si="25"/>
        <v>0</v>
      </c>
      <c r="AE68" s="247">
        <f t="shared" si="25"/>
        <v>0</v>
      </c>
      <c r="AF68" s="247">
        <f t="shared" si="25"/>
        <v>0</v>
      </c>
      <c r="AG68" s="247">
        <f t="shared" si="25"/>
        <v>0</v>
      </c>
      <c r="AH68" s="247">
        <f t="shared" si="25"/>
        <v>0</v>
      </c>
      <c r="AI68" s="247">
        <f t="shared" si="25"/>
        <v>0</v>
      </c>
      <c r="AJ68" s="247">
        <f t="shared" si="25"/>
        <v>0</v>
      </c>
      <c r="AK68" s="247">
        <f t="shared" si="25"/>
        <v>0</v>
      </c>
      <c r="AL68" s="247">
        <f t="shared" si="25"/>
        <v>0</v>
      </c>
      <c r="AM68" s="247">
        <f t="shared" si="25"/>
        <v>0</v>
      </c>
      <c r="AN68" s="247">
        <f t="shared" si="25"/>
        <v>0</v>
      </c>
      <c r="AO68" s="247">
        <f t="shared" si="25"/>
        <v>0</v>
      </c>
      <c r="AP68" s="247">
        <f t="shared" si="25"/>
        <v>0</v>
      </c>
      <c r="AQ68" s="247">
        <f t="shared" si="25"/>
        <v>0</v>
      </c>
      <c r="AR68" s="247">
        <f t="shared" si="25"/>
        <v>0</v>
      </c>
      <c r="AS68" s="247">
        <f t="shared" si="25"/>
        <v>0</v>
      </c>
      <c r="AT68" s="247">
        <f t="shared" si="25"/>
        <v>0</v>
      </c>
      <c r="AU68" s="247">
        <f t="shared" si="25"/>
        <v>0</v>
      </c>
      <c r="AV68" s="247">
        <f t="shared" si="25"/>
        <v>0</v>
      </c>
      <c r="AW68" s="247">
        <f t="shared" si="25"/>
        <v>0</v>
      </c>
      <c r="AX68" s="247">
        <f t="shared" si="25"/>
        <v>0</v>
      </c>
      <c r="AY68" s="247">
        <f t="shared" si="25"/>
        <v>0</v>
      </c>
      <c r="AZ68" s="247">
        <f t="shared" si="25"/>
        <v>0</v>
      </c>
      <c r="BA68" s="247">
        <f t="shared" si="25"/>
        <v>0</v>
      </c>
      <c r="BB68" s="247">
        <f t="shared" si="25"/>
        <v>0</v>
      </c>
      <c r="BC68" s="247">
        <f t="shared" si="25"/>
        <v>0</v>
      </c>
      <c r="BD68" s="247">
        <f t="shared" si="25"/>
        <v>0</v>
      </c>
      <c r="BE68" s="247">
        <f t="shared" si="25"/>
        <v>0</v>
      </c>
      <c r="BF68" s="247">
        <f t="shared" si="25"/>
        <v>0</v>
      </c>
      <c r="BG68" s="247">
        <f t="shared" si="25"/>
        <v>0</v>
      </c>
      <c r="BH68" s="247">
        <f t="shared" si="25"/>
        <v>0</v>
      </c>
      <c r="BI68" s="247">
        <f t="shared" si="25"/>
        <v>0</v>
      </c>
      <c r="BJ68" s="247">
        <f t="shared" si="25"/>
        <v>0</v>
      </c>
      <c r="BK68" s="247">
        <f t="shared" si="25"/>
        <v>0</v>
      </c>
      <c r="BL68" s="247">
        <f t="shared" si="25"/>
        <v>0</v>
      </c>
      <c r="BM68" s="247">
        <f t="shared" si="25"/>
        <v>0</v>
      </c>
      <c r="BN68" s="247">
        <f t="shared" si="25"/>
        <v>0</v>
      </c>
      <c r="BO68" s="247">
        <f t="shared" si="25"/>
        <v>0</v>
      </c>
      <c r="BP68" s="247">
        <f t="shared" si="25"/>
        <v>0</v>
      </c>
      <c r="BQ68" s="247">
        <f t="shared" si="25"/>
        <v>0</v>
      </c>
      <c r="BR68" s="247">
        <f t="shared" si="25"/>
        <v>0</v>
      </c>
      <c r="BS68" s="247">
        <f t="shared" ref="BS68:BY68" si="26">BS69+BS70+BS71+BS72</f>
        <v>0</v>
      </c>
      <c r="BT68" s="247">
        <f t="shared" si="26"/>
        <v>0</v>
      </c>
      <c r="BU68" s="247">
        <f t="shared" si="26"/>
        <v>0</v>
      </c>
      <c r="BV68" s="247">
        <f t="shared" si="26"/>
        <v>0</v>
      </c>
      <c r="BW68" s="247">
        <f t="shared" si="26"/>
        <v>0</v>
      </c>
      <c r="BX68" s="247">
        <f t="shared" si="26"/>
        <v>0</v>
      </c>
      <c r="BY68" s="247">
        <f t="shared" si="26"/>
        <v>0</v>
      </c>
      <c r="BZ68" s="339"/>
      <c r="CA68" s="339"/>
      <c r="CB68" s="339"/>
      <c r="CC68" s="339"/>
      <c r="CD68" s="339"/>
      <c r="CE68" s="339"/>
    </row>
    <row r="69" spans="1:125">
      <c r="A69" s="73" t="s">
        <v>500</v>
      </c>
      <c r="B69" s="385" t="str">
        <f>Исх.данные!A51</f>
        <v xml:space="preserve">Грузовые а/м </v>
      </c>
      <c r="C69" s="338">
        <v>2</v>
      </c>
      <c r="D69" s="338">
        <f>Исх.данные!B51</f>
        <v>6000</v>
      </c>
      <c r="E69" s="219">
        <f>C69*D69</f>
        <v>12000</v>
      </c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406">
        <f>E69*0.2</f>
        <v>2400</v>
      </c>
      <c r="AA69" s="406">
        <f>E69*0.8</f>
        <v>9600</v>
      </c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339"/>
      <c r="CA69" s="339"/>
      <c r="CB69" s="339"/>
      <c r="CC69" s="339"/>
      <c r="CD69" s="339"/>
      <c r="CE69" s="339"/>
    </row>
    <row r="70" spans="1:125">
      <c r="A70" s="364" t="s">
        <v>501</v>
      </c>
      <c r="B70" s="385" t="str">
        <f>Исх.данные!A52</f>
        <v>Складская техника (погрузчики)</v>
      </c>
      <c r="C70" s="338">
        <v>4</v>
      </c>
      <c r="D70" s="338">
        <f>Исх.данные!B52</f>
        <v>3000</v>
      </c>
      <c r="E70" s="219">
        <f t="shared" ref="E70:E72" si="27">C70*D70</f>
        <v>12000</v>
      </c>
      <c r="F70" s="275"/>
      <c r="G70" s="275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275"/>
      <c r="Y70" s="275"/>
      <c r="Z70" s="406">
        <f t="shared" ref="Z70:Z72" si="28">E70*0.2</f>
        <v>2400</v>
      </c>
      <c r="AA70" s="406">
        <f t="shared" ref="AA70:AA72" si="29">E70*0.8</f>
        <v>9600</v>
      </c>
      <c r="AB70" s="275"/>
      <c r="AC70" s="275"/>
      <c r="AD70" s="275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</row>
    <row r="71" spans="1:125">
      <c r="A71" s="73" t="s">
        <v>502</v>
      </c>
      <c r="B71" s="384" t="str">
        <f>Исх.данные!A53</f>
        <v>Офисное оборудование (ПК, телефон, принтер)</v>
      </c>
      <c r="C71" s="338">
        <v>1</v>
      </c>
      <c r="D71" s="338">
        <f>Исх.данные!B53</f>
        <v>15000</v>
      </c>
      <c r="E71" s="219">
        <f t="shared" si="27"/>
        <v>15000</v>
      </c>
      <c r="F71" s="275"/>
      <c r="G71" s="275"/>
      <c r="H71" s="275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406">
        <f t="shared" si="28"/>
        <v>3000</v>
      </c>
      <c r="AA71" s="406">
        <f t="shared" si="29"/>
        <v>12000</v>
      </c>
      <c r="AB71" s="275"/>
      <c r="AC71" s="275"/>
      <c r="AD71" s="275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</row>
    <row r="72" spans="1:125" ht="25.5">
      <c r="A72" s="364" t="s">
        <v>503</v>
      </c>
      <c r="B72" s="384" t="str">
        <f>Исх.данные!A54</f>
        <v>Складское оборудование (стеллажи, подъемные механизмы и т.д)</v>
      </c>
      <c r="C72" s="338">
        <v>1</v>
      </c>
      <c r="D72" s="338">
        <f>Исх.данные!B54</f>
        <v>10000</v>
      </c>
      <c r="E72" s="219">
        <f t="shared" si="27"/>
        <v>10000</v>
      </c>
      <c r="F72" s="275"/>
      <c r="G72" s="275"/>
      <c r="H72" s="275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406">
        <f t="shared" si="28"/>
        <v>2000</v>
      </c>
      <c r="AA72" s="406">
        <f t="shared" si="29"/>
        <v>8000</v>
      </c>
      <c r="AB72" s="275"/>
      <c r="AC72" s="275"/>
      <c r="AD72" s="275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</row>
    <row r="73" spans="1:125" s="25" customFormat="1" ht="13.15" customHeight="1">
      <c r="A73" s="245" t="s">
        <v>430</v>
      </c>
      <c r="B73" s="246" t="s">
        <v>349</v>
      </c>
      <c r="C73" s="270"/>
      <c r="D73" s="270"/>
      <c r="E73" s="247">
        <f>SUM(F73:BY73)</f>
        <v>6944.3185546533359</v>
      </c>
      <c r="F73" s="247">
        <f>(F3+F6+F14+F37+F38+F39+F40+F68)*0.02</f>
        <v>0</v>
      </c>
      <c r="G73" s="247">
        <f t="shared" ref="G73:BR73" si="30">(G3+G6+G14+G37+G38+G39+G40+G68)*0.02</f>
        <v>0</v>
      </c>
      <c r="H73" s="247">
        <f t="shared" si="30"/>
        <v>0</v>
      </c>
      <c r="I73" s="247">
        <f t="shared" si="30"/>
        <v>0</v>
      </c>
      <c r="J73" s="247">
        <f t="shared" si="30"/>
        <v>0.4</v>
      </c>
      <c r="K73" s="247">
        <f t="shared" si="30"/>
        <v>0</v>
      </c>
      <c r="L73" s="247">
        <f t="shared" si="30"/>
        <v>0</v>
      </c>
      <c r="M73" s="247">
        <f t="shared" si="30"/>
        <v>0</v>
      </c>
      <c r="N73" s="247">
        <f t="shared" si="30"/>
        <v>0</v>
      </c>
      <c r="O73" s="247">
        <f t="shared" si="30"/>
        <v>70.649260000000012</v>
      </c>
      <c r="P73" s="247">
        <f t="shared" si="30"/>
        <v>0</v>
      </c>
      <c r="Q73" s="247">
        <f t="shared" si="30"/>
        <v>20.240000000000002</v>
      </c>
      <c r="R73" s="247">
        <f t="shared" si="30"/>
        <v>529.88879999999995</v>
      </c>
      <c r="S73" s="247">
        <f t="shared" si="30"/>
        <v>316.18882000000002</v>
      </c>
      <c r="T73" s="247">
        <f t="shared" si="30"/>
        <v>7.9055999999999997</v>
      </c>
      <c r="U73" s="247">
        <f t="shared" si="30"/>
        <v>905.76940000000002</v>
      </c>
      <c r="V73" s="247">
        <f t="shared" si="30"/>
        <v>151.39600000000002</v>
      </c>
      <c r="W73" s="247">
        <f t="shared" si="30"/>
        <v>12.710999999999999</v>
      </c>
      <c r="X73" s="247">
        <f t="shared" si="30"/>
        <v>11.404000000000002</v>
      </c>
      <c r="Y73" s="247">
        <f t="shared" si="30"/>
        <v>0.94599999999999995</v>
      </c>
      <c r="Z73" s="247">
        <f t="shared" si="30"/>
        <v>298.05124000000001</v>
      </c>
      <c r="AA73" s="247">
        <f t="shared" si="30"/>
        <v>1044.8225600000001</v>
      </c>
      <c r="AB73" s="247">
        <f t="shared" si="30"/>
        <v>31.07</v>
      </c>
      <c r="AC73" s="247">
        <f t="shared" si="30"/>
        <v>14.655999999999999</v>
      </c>
      <c r="AD73" s="247">
        <f t="shared" si="30"/>
        <v>0</v>
      </c>
      <c r="AE73" s="247">
        <f t="shared" si="30"/>
        <v>0</v>
      </c>
      <c r="AF73" s="247">
        <f t="shared" si="30"/>
        <v>506.93559999999997</v>
      </c>
      <c r="AG73" s="247">
        <f t="shared" si="30"/>
        <v>0</v>
      </c>
      <c r="AH73" s="247">
        <f t="shared" si="30"/>
        <v>0</v>
      </c>
      <c r="AI73" s="247">
        <f t="shared" si="30"/>
        <v>182.5549410666668</v>
      </c>
      <c r="AJ73" s="247">
        <f t="shared" si="30"/>
        <v>182.5549410666668</v>
      </c>
      <c r="AK73" s="247">
        <f t="shared" si="30"/>
        <v>182.5549410666668</v>
      </c>
      <c r="AL73" s="247">
        <f t="shared" si="30"/>
        <v>182.5549410666668</v>
      </c>
      <c r="AM73" s="247">
        <f t="shared" si="30"/>
        <v>182.5549410666668</v>
      </c>
      <c r="AN73" s="247">
        <f t="shared" si="30"/>
        <v>0</v>
      </c>
      <c r="AO73" s="247">
        <f t="shared" si="30"/>
        <v>0</v>
      </c>
      <c r="AP73" s="247">
        <f t="shared" si="30"/>
        <v>0</v>
      </c>
      <c r="AQ73" s="247">
        <f t="shared" si="30"/>
        <v>0</v>
      </c>
      <c r="AR73" s="247">
        <f t="shared" si="30"/>
        <v>0</v>
      </c>
      <c r="AS73" s="247">
        <f t="shared" si="30"/>
        <v>0</v>
      </c>
      <c r="AT73" s="247">
        <f t="shared" si="30"/>
        <v>0</v>
      </c>
      <c r="AU73" s="247">
        <f t="shared" si="30"/>
        <v>200.81043517333319</v>
      </c>
      <c r="AV73" s="247">
        <f t="shared" si="30"/>
        <v>200.81043517333319</v>
      </c>
      <c r="AW73" s="247">
        <f t="shared" si="30"/>
        <v>200.81043517333319</v>
      </c>
      <c r="AX73" s="247">
        <f t="shared" si="30"/>
        <v>200.81043517333319</v>
      </c>
      <c r="AY73" s="247">
        <f t="shared" si="30"/>
        <v>200.81043517333319</v>
      </c>
      <c r="AZ73" s="247">
        <f t="shared" si="30"/>
        <v>0</v>
      </c>
      <c r="BA73" s="247">
        <f t="shared" si="30"/>
        <v>0</v>
      </c>
      <c r="BB73" s="247">
        <f t="shared" si="30"/>
        <v>0</v>
      </c>
      <c r="BC73" s="247">
        <f t="shared" si="30"/>
        <v>0</v>
      </c>
      <c r="BD73" s="247">
        <f t="shared" si="30"/>
        <v>0</v>
      </c>
      <c r="BE73" s="247">
        <f t="shared" si="30"/>
        <v>0</v>
      </c>
      <c r="BF73" s="247">
        <f t="shared" si="30"/>
        <v>0</v>
      </c>
      <c r="BG73" s="247">
        <f t="shared" si="30"/>
        <v>220.89147869066679</v>
      </c>
      <c r="BH73" s="247">
        <f t="shared" si="30"/>
        <v>220.89147869066679</v>
      </c>
      <c r="BI73" s="247">
        <f t="shared" si="30"/>
        <v>220.89147869066679</v>
      </c>
      <c r="BJ73" s="247">
        <f t="shared" si="30"/>
        <v>220.89147869066679</v>
      </c>
      <c r="BK73" s="247">
        <f t="shared" si="30"/>
        <v>220.89147869066679</v>
      </c>
      <c r="BL73" s="247">
        <f t="shared" si="30"/>
        <v>0</v>
      </c>
      <c r="BM73" s="247">
        <f t="shared" si="30"/>
        <v>0</v>
      </c>
      <c r="BN73" s="247">
        <f t="shared" si="30"/>
        <v>0</v>
      </c>
      <c r="BO73" s="247">
        <f t="shared" si="30"/>
        <v>0</v>
      </c>
      <c r="BP73" s="247">
        <f t="shared" si="30"/>
        <v>0</v>
      </c>
      <c r="BQ73" s="247">
        <f t="shared" si="30"/>
        <v>0</v>
      </c>
      <c r="BR73" s="247">
        <f t="shared" si="30"/>
        <v>0</v>
      </c>
      <c r="BS73" s="247">
        <f t="shared" ref="BS73:BY73" si="31">(BS3+BS6+BS14+BS37+BS38+BS39+BS40+BS68)*0.02</f>
        <v>0</v>
      </c>
      <c r="BT73" s="247">
        <f t="shared" si="31"/>
        <v>0</v>
      </c>
      <c r="BU73" s="247">
        <f t="shared" si="31"/>
        <v>0</v>
      </c>
      <c r="BV73" s="247">
        <f t="shared" si="31"/>
        <v>0</v>
      </c>
      <c r="BW73" s="247">
        <f t="shared" si="31"/>
        <v>0</v>
      </c>
      <c r="BX73" s="247">
        <f t="shared" si="31"/>
        <v>0</v>
      </c>
      <c r="BY73" s="247">
        <f t="shared" si="31"/>
        <v>0</v>
      </c>
    </row>
    <row r="74" spans="1:125" s="248" customFormat="1" ht="13.15" customHeight="1">
      <c r="A74" s="352" t="s">
        <v>90</v>
      </c>
      <c r="B74" s="352"/>
      <c r="C74" s="352"/>
      <c r="D74" s="352"/>
      <c r="E74" s="249">
        <f>E3+E6+E14+E37+E38+E39+E40+E68+E73</f>
        <v>354160.24628731998</v>
      </c>
      <c r="F74" s="249">
        <f>F3+F6+F40+F68+F73+F14+F37+F38+F39</f>
        <v>0</v>
      </c>
      <c r="G74" s="249">
        <f t="shared" ref="G74:BR74" si="32">G3+G6+G40+G68+G73+G14+G37+G38+G39</f>
        <v>0</v>
      </c>
      <c r="H74" s="249">
        <f t="shared" si="32"/>
        <v>0</v>
      </c>
      <c r="I74" s="249">
        <f t="shared" si="32"/>
        <v>0</v>
      </c>
      <c r="J74" s="249">
        <f t="shared" si="32"/>
        <v>20.399999999999999</v>
      </c>
      <c r="K74" s="249">
        <f t="shared" si="32"/>
        <v>0</v>
      </c>
      <c r="L74" s="249">
        <f t="shared" si="32"/>
        <v>0</v>
      </c>
      <c r="M74" s="249">
        <f t="shared" si="32"/>
        <v>0</v>
      </c>
      <c r="N74" s="249">
        <f t="shared" si="32"/>
        <v>0</v>
      </c>
      <c r="O74" s="249">
        <f t="shared" si="32"/>
        <v>3603.1122600000003</v>
      </c>
      <c r="P74" s="249">
        <f t="shared" si="32"/>
        <v>0</v>
      </c>
      <c r="Q74" s="249">
        <f t="shared" si="32"/>
        <v>1032.24</v>
      </c>
      <c r="R74" s="249">
        <f t="shared" si="32"/>
        <v>27024.328799999999</v>
      </c>
      <c r="S74" s="249">
        <f t="shared" si="32"/>
        <v>16125.62982</v>
      </c>
      <c r="T74" s="249">
        <f t="shared" si="32"/>
        <v>403.18559999999997</v>
      </c>
      <c r="U74" s="249">
        <f t="shared" si="32"/>
        <v>46194.239399999999</v>
      </c>
      <c r="V74" s="249">
        <f t="shared" si="32"/>
        <v>7721.1959999999999</v>
      </c>
      <c r="W74" s="249">
        <f t="shared" si="32"/>
        <v>648.26099999999997</v>
      </c>
      <c r="X74" s="249">
        <f t="shared" si="32"/>
        <v>581.60400000000004</v>
      </c>
      <c r="Y74" s="249">
        <f t="shared" si="32"/>
        <v>48.245999999999995</v>
      </c>
      <c r="Z74" s="249">
        <f t="shared" si="32"/>
        <v>15200.613240000001</v>
      </c>
      <c r="AA74" s="249">
        <f t="shared" si="32"/>
        <v>53285.950559999997</v>
      </c>
      <c r="AB74" s="249">
        <f t="shared" si="32"/>
        <v>1584.57</v>
      </c>
      <c r="AC74" s="249">
        <f t="shared" si="32"/>
        <v>747.4559999999999</v>
      </c>
      <c r="AD74" s="249">
        <f t="shared" si="32"/>
        <v>0</v>
      </c>
      <c r="AE74" s="249">
        <f t="shared" si="32"/>
        <v>0</v>
      </c>
      <c r="AF74" s="249">
        <f t="shared" si="32"/>
        <v>25853.7156</v>
      </c>
      <c r="AG74" s="249">
        <f t="shared" si="32"/>
        <v>0</v>
      </c>
      <c r="AH74" s="249">
        <f t="shared" si="32"/>
        <v>0</v>
      </c>
      <c r="AI74" s="249">
        <f t="shared" si="32"/>
        <v>9310.3019944000062</v>
      </c>
      <c r="AJ74" s="249">
        <f t="shared" si="32"/>
        <v>9310.3019944000062</v>
      </c>
      <c r="AK74" s="249">
        <f t="shared" si="32"/>
        <v>9310.3019944000062</v>
      </c>
      <c r="AL74" s="249">
        <f t="shared" si="32"/>
        <v>9310.3019944000062</v>
      </c>
      <c r="AM74" s="249">
        <f t="shared" si="32"/>
        <v>9310.3019944000062</v>
      </c>
      <c r="AN74" s="249">
        <f t="shared" si="32"/>
        <v>0</v>
      </c>
      <c r="AO74" s="249">
        <f t="shared" si="32"/>
        <v>0</v>
      </c>
      <c r="AP74" s="249">
        <f t="shared" si="32"/>
        <v>0</v>
      </c>
      <c r="AQ74" s="249">
        <f t="shared" si="32"/>
        <v>0</v>
      </c>
      <c r="AR74" s="249">
        <f t="shared" si="32"/>
        <v>0</v>
      </c>
      <c r="AS74" s="249">
        <f t="shared" si="32"/>
        <v>0</v>
      </c>
      <c r="AT74" s="249">
        <f t="shared" si="32"/>
        <v>0</v>
      </c>
      <c r="AU74" s="249">
        <f t="shared" si="32"/>
        <v>10241.332193839991</v>
      </c>
      <c r="AV74" s="249">
        <f t="shared" si="32"/>
        <v>10241.332193839991</v>
      </c>
      <c r="AW74" s="249">
        <f t="shared" si="32"/>
        <v>10241.332193839991</v>
      </c>
      <c r="AX74" s="249">
        <f t="shared" si="32"/>
        <v>10241.332193839991</v>
      </c>
      <c r="AY74" s="249">
        <f t="shared" si="32"/>
        <v>10241.332193839991</v>
      </c>
      <c r="AZ74" s="249">
        <f t="shared" si="32"/>
        <v>0</v>
      </c>
      <c r="BA74" s="249">
        <f t="shared" si="32"/>
        <v>0</v>
      </c>
      <c r="BB74" s="249">
        <f t="shared" si="32"/>
        <v>0</v>
      </c>
      <c r="BC74" s="249">
        <f t="shared" si="32"/>
        <v>0</v>
      </c>
      <c r="BD74" s="249">
        <f t="shared" si="32"/>
        <v>0</v>
      </c>
      <c r="BE74" s="249">
        <f t="shared" si="32"/>
        <v>0</v>
      </c>
      <c r="BF74" s="249">
        <f t="shared" si="32"/>
        <v>0</v>
      </c>
      <c r="BG74" s="249">
        <f t="shared" si="32"/>
        <v>11265.465413224005</v>
      </c>
      <c r="BH74" s="249">
        <f t="shared" si="32"/>
        <v>11265.465413224005</v>
      </c>
      <c r="BI74" s="249">
        <f t="shared" si="32"/>
        <v>11265.465413224005</v>
      </c>
      <c r="BJ74" s="249">
        <f t="shared" si="32"/>
        <v>11265.465413224005</v>
      </c>
      <c r="BK74" s="249">
        <f t="shared" si="32"/>
        <v>11265.465413224005</v>
      </c>
      <c r="BL74" s="249">
        <f t="shared" si="32"/>
        <v>0</v>
      </c>
      <c r="BM74" s="249">
        <f t="shared" si="32"/>
        <v>0</v>
      </c>
      <c r="BN74" s="249">
        <f t="shared" si="32"/>
        <v>0</v>
      </c>
      <c r="BO74" s="249">
        <f t="shared" si="32"/>
        <v>0</v>
      </c>
      <c r="BP74" s="249">
        <f t="shared" si="32"/>
        <v>0</v>
      </c>
      <c r="BQ74" s="249">
        <f t="shared" si="32"/>
        <v>0</v>
      </c>
      <c r="BR74" s="249">
        <f t="shared" si="32"/>
        <v>0</v>
      </c>
      <c r="BS74" s="249">
        <f t="shared" ref="BS74:BY74" si="33">BS3+BS6+BS40+BS68+BS73+BS14+BS37+BS38+BS39</f>
        <v>0</v>
      </c>
      <c r="BT74" s="249">
        <f t="shared" si="33"/>
        <v>0</v>
      </c>
      <c r="BU74" s="249">
        <f t="shared" si="33"/>
        <v>0</v>
      </c>
      <c r="BV74" s="249">
        <f t="shared" si="33"/>
        <v>0</v>
      </c>
      <c r="BW74" s="249">
        <f t="shared" si="33"/>
        <v>0</v>
      </c>
      <c r="BX74" s="249">
        <f t="shared" si="33"/>
        <v>0</v>
      </c>
      <c r="BY74" s="249">
        <f t="shared" si="33"/>
        <v>0</v>
      </c>
    </row>
    <row r="75" spans="1:125" ht="13.15" customHeight="1">
      <c r="A75" s="437" t="s">
        <v>95</v>
      </c>
      <c r="B75" s="437"/>
      <c r="C75" s="271"/>
      <c r="D75" s="271"/>
      <c r="E75" s="75">
        <f>SUM(F75:BA75)</f>
        <v>44920.287026785532</v>
      </c>
      <c r="F75" s="70">
        <f>ДДС!C4+ДДС!C18</f>
        <v>0</v>
      </c>
      <c r="G75" s="70">
        <f>ДДС!D4+ДДС!D18</f>
        <v>0</v>
      </c>
      <c r="H75" s="70">
        <f>ДДС!E4+ДДС!E18</f>
        <v>0</v>
      </c>
      <c r="I75" s="70">
        <f>ДДС!F4+ДДС!F18</f>
        <v>0</v>
      </c>
      <c r="J75" s="70">
        <f>ДДС!G4+ДДС!G18</f>
        <v>0</v>
      </c>
      <c r="K75" s="70">
        <f>ДДС!H4+ДДС!H18</f>
        <v>0</v>
      </c>
      <c r="L75" s="70">
        <f>ДДС!I4+ДДС!I18</f>
        <v>0</v>
      </c>
      <c r="M75" s="70">
        <f>ДДС!J4+ДДС!J18</f>
        <v>0</v>
      </c>
      <c r="N75" s="70">
        <f>ДДС!K4+ДДС!K18</f>
        <v>0</v>
      </c>
      <c r="O75" s="70">
        <f>ДДС!L4+ДДС!L18</f>
        <v>0</v>
      </c>
      <c r="P75" s="70">
        <f>ДДС!M4+ДДС!M18</f>
        <v>0</v>
      </c>
      <c r="Q75" s="70">
        <f>ДДС!N4+ДДС!N18</f>
        <v>74.125222912500021</v>
      </c>
      <c r="R75" s="70">
        <f>ДДС!O4+ДДС!O18</f>
        <v>0</v>
      </c>
      <c r="S75" s="70">
        <f>ДДС!P4+ДДС!P18</f>
        <v>104.21308457132182</v>
      </c>
      <c r="T75" s="70">
        <f>ДДС!Q4+ДДС!Q18</f>
        <v>178.61350499665087</v>
      </c>
      <c r="U75" s="70">
        <f>ДДС!R4+ДДС!R18</f>
        <v>280.19721361301345</v>
      </c>
      <c r="V75" s="70">
        <f>ДДС!S4+ДДС!S18</f>
        <v>305.82308460768581</v>
      </c>
      <c r="W75" s="70">
        <f>ДДС!T4+ДДС!T18</f>
        <v>378.3897700329685</v>
      </c>
      <c r="X75" s="70">
        <f>ДДС!U4+ДДС!U18</f>
        <v>302.38012347164602</v>
      </c>
      <c r="Y75" s="70">
        <f>ДДС!V4+ДДС!V18</f>
        <v>298.48288632632784</v>
      </c>
      <c r="Z75" s="70">
        <f>ДДС!W4+ДДС!W18</f>
        <v>378.65430096020464</v>
      </c>
      <c r="AA75" s="70">
        <f>ДДС!X4+ДДС!X18</f>
        <v>456.58991677897575</v>
      </c>
      <c r="AB75" s="70">
        <f>ДДС!Y4+ДДС!Y18</f>
        <v>3172.3778685142406</v>
      </c>
      <c r="AC75" s="70">
        <f>ДДС!Z4+ДДС!Z18</f>
        <v>12760.938050000001</v>
      </c>
      <c r="AD75" s="70">
        <f>ДДС!AA4+ДДС!AA18</f>
        <v>12076.899679999999</v>
      </c>
      <c r="AE75" s="70">
        <f>ДДС!AB4+ДДС!AB18</f>
        <v>14152.60232</v>
      </c>
      <c r="AF75" s="70">
        <f>ДДС!AC4+ДДС!AC18</f>
        <v>0</v>
      </c>
      <c r="AG75" s="70">
        <f>ДДС!AD4+ДДС!AD18</f>
        <v>0</v>
      </c>
      <c r="AH75" s="70">
        <f>ДДС!AE4+ДДС!AE18</f>
        <v>0</v>
      </c>
      <c r="AI75" s="70">
        <f>ДДС!AF4+ДДС!AF18</f>
        <v>0</v>
      </c>
      <c r="AJ75" s="70">
        <f>ДДС!AG4+ДДС!AG18</f>
        <v>0</v>
      </c>
      <c r="AK75" s="70">
        <f>ДДС!AH4+ДДС!AH18</f>
        <v>0</v>
      </c>
      <c r="AL75" s="70">
        <f>ДДС!AI4+ДДС!AI18</f>
        <v>0</v>
      </c>
      <c r="AM75" s="70">
        <f>ДДС!AJ4+ДДС!AJ18</f>
        <v>0</v>
      </c>
      <c r="AN75" s="70">
        <f>ДДС!AK4+ДДС!AK18</f>
        <v>0</v>
      </c>
      <c r="AO75" s="70">
        <f>ДДС!AL4+ДДС!AL18</f>
        <v>0</v>
      </c>
      <c r="AP75" s="70">
        <f>ДДС!AM4+ДДС!AM18</f>
        <v>0</v>
      </c>
      <c r="AQ75" s="70">
        <f>ДДС!AN4+ДДС!AN18</f>
        <v>0</v>
      </c>
      <c r="AR75" s="70">
        <f>ДДС!AO4+ДДС!AO18</f>
        <v>0</v>
      </c>
      <c r="AS75" s="70">
        <f>ДДС!AP4+ДДС!AP18</f>
        <v>0</v>
      </c>
      <c r="AT75" s="70">
        <f>ДДС!AQ4+ДДС!AQ18</f>
        <v>0</v>
      </c>
      <c r="AU75" s="70">
        <f>ДДС!AR4+ДДС!AR18</f>
        <v>0</v>
      </c>
      <c r="AV75" s="70">
        <f>ДДС!AS4+ДДС!AS18</f>
        <v>0</v>
      </c>
      <c r="AW75" s="70">
        <f>ДДС!AT4+ДДС!AT18</f>
        <v>0</v>
      </c>
      <c r="AX75" s="70">
        <f>ДДС!AU4+ДДС!AU18</f>
        <v>0</v>
      </c>
      <c r="AY75" s="70">
        <f>ДДС!AV4+ДДС!AV18</f>
        <v>0</v>
      </c>
      <c r="AZ75" s="70">
        <f>ДДС!AW4+ДДС!AW18</f>
        <v>0</v>
      </c>
      <c r="BA75" s="70">
        <f>ДДС!AX4+ДДС!AX18</f>
        <v>0</v>
      </c>
      <c r="BB75" s="70">
        <f>ДДС!AY4+ДДС!AY18</f>
        <v>0</v>
      </c>
      <c r="BC75" s="70">
        <f>ДДС!AZ4+ДДС!AZ18</f>
        <v>0</v>
      </c>
      <c r="BD75" s="70">
        <f>ДДС!BA4+ДДС!BA18</f>
        <v>0</v>
      </c>
      <c r="BE75" s="70">
        <f>ДДС!BB4+ДДС!BB18</f>
        <v>0</v>
      </c>
      <c r="BF75" s="70">
        <f>ДДС!BC4+ДДС!BC18</f>
        <v>0</v>
      </c>
      <c r="BG75" s="70">
        <f>ДДС!BD4+ДДС!BD18</f>
        <v>0</v>
      </c>
      <c r="BH75" s="70">
        <f>ДДС!BE4+ДДС!BE18</f>
        <v>0</v>
      </c>
      <c r="BI75" s="70">
        <f>ДДС!BF4+ДДС!BF18</f>
        <v>0</v>
      </c>
      <c r="BJ75" s="70">
        <f>ДДС!BG4+ДДС!BG18</f>
        <v>0</v>
      </c>
      <c r="BK75" s="70">
        <f>ДДС!BH4+ДДС!BH18</f>
        <v>0</v>
      </c>
      <c r="BL75" s="70">
        <f>ДДС!BI4+ДДС!BI18</f>
        <v>0</v>
      </c>
      <c r="BM75" s="70">
        <f>ДДС!BJ4+ДДС!BJ18</f>
        <v>0</v>
      </c>
      <c r="BN75" s="70">
        <f>ДДС!BK4+ДДС!BK18</f>
        <v>0</v>
      </c>
      <c r="BO75" s="70">
        <f>ДДС!BL4+ДДС!BL18</f>
        <v>0</v>
      </c>
      <c r="BP75" s="70">
        <f>ДДС!BM4+ДДС!BM18</f>
        <v>0</v>
      </c>
      <c r="BQ75" s="70">
        <f>ДДС!BN4+ДДС!BN18</f>
        <v>0</v>
      </c>
      <c r="BR75" s="70">
        <f>ДДС!BO4+ДДС!BO18</f>
        <v>0</v>
      </c>
      <c r="BS75" s="70">
        <f>ДДС!BP4+ДДС!BP18</f>
        <v>0</v>
      </c>
      <c r="BT75" s="70">
        <f>ДДС!BQ4+ДДС!BQ18</f>
        <v>0</v>
      </c>
      <c r="BU75" s="70">
        <f>ДДС!BR4+ДДС!BR18</f>
        <v>0</v>
      </c>
      <c r="BV75" s="70">
        <f>ДДС!BS4+ДДС!BS18</f>
        <v>0</v>
      </c>
      <c r="BW75" s="70">
        <f>ДДС!BT4+ДДС!BT18</f>
        <v>0</v>
      </c>
      <c r="BX75" s="70">
        <f>ДДС!BU4+ДДС!BU18</f>
        <v>0</v>
      </c>
      <c r="BY75" s="70">
        <f>ДДС!BV4+ДДС!BV18</f>
        <v>0</v>
      </c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</row>
    <row r="76" spans="1:125" s="248" customFormat="1" ht="13.15" customHeight="1">
      <c r="A76" s="352" t="s">
        <v>91</v>
      </c>
      <c r="B76" s="352"/>
      <c r="C76" s="352"/>
      <c r="D76" s="352"/>
      <c r="E76" s="249">
        <f>E74+E75</f>
        <v>399080.53331410553</v>
      </c>
      <c r="F76" s="249">
        <f>F74+F75</f>
        <v>0</v>
      </c>
      <c r="G76" s="249">
        <f>G74+G75</f>
        <v>0</v>
      </c>
      <c r="H76" s="249">
        <f t="shared" ref="H76:BR76" si="34">H74+H75</f>
        <v>0</v>
      </c>
      <c r="I76" s="249">
        <f t="shared" si="34"/>
        <v>0</v>
      </c>
      <c r="J76" s="249">
        <f t="shared" si="34"/>
        <v>20.399999999999999</v>
      </c>
      <c r="K76" s="249">
        <f t="shared" si="34"/>
        <v>0</v>
      </c>
      <c r="L76" s="249">
        <f t="shared" si="34"/>
        <v>0</v>
      </c>
      <c r="M76" s="249">
        <f t="shared" si="34"/>
        <v>0</v>
      </c>
      <c r="N76" s="249">
        <f t="shared" si="34"/>
        <v>0</v>
      </c>
      <c r="O76" s="249">
        <f t="shared" si="34"/>
        <v>3603.1122600000003</v>
      </c>
      <c r="P76" s="249">
        <f t="shared" si="34"/>
        <v>0</v>
      </c>
      <c r="Q76" s="249">
        <f t="shared" si="34"/>
        <v>1106.3652229125</v>
      </c>
      <c r="R76" s="249">
        <f t="shared" si="34"/>
        <v>27024.328799999999</v>
      </c>
      <c r="S76" s="249">
        <f t="shared" si="34"/>
        <v>16229.842904571322</v>
      </c>
      <c r="T76" s="249">
        <f t="shared" si="34"/>
        <v>581.79910499665084</v>
      </c>
      <c r="U76" s="249">
        <f t="shared" si="34"/>
        <v>46474.436613613012</v>
      </c>
      <c r="V76" s="249">
        <f t="shared" si="34"/>
        <v>8027.0190846076857</v>
      </c>
      <c r="W76" s="249">
        <f t="shared" si="34"/>
        <v>1026.6507700329685</v>
      </c>
      <c r="X76" s="249">
        <f t="shared" si="34"/>
        <v>883.98412347164606</v>
      </c>
      <c r="Y76" s="249">
        <f t="shared" si="34"/>
        <v>346.72888632632782</v>
      </c>
      <c r="Z76" s="249">
        <f t="shared" si="34"/>
        <v>15579.267540960205</v>
      </c>
      <c r="AA76" s="249">
        <f t="shared" si="34"/>
        <v>53742.540476778973</v>
      </c>
      <c r="AB76" s="249">
        <f t="shared" si="34"/>
        <v>4756.9478685142403</v>
      </c>
      <c r="AC76" s="249">
        <f t="shared" si="34"/>
        <v>13508.394050000001</v>
      </c>
      <c r="AD76" s="249">
        <f t="shared" si="34"/>
        <v>12076.899679999999</v>
      </c>
      <c r="AE76" s="249">
        <f t="shared" si="34"/>
        <v>14152.60232</v>
      </c>
      <c r="AF76" s="249">
        <f t="shared" si="34"/>
        <v>25853.7156</v>
      </c>
      <c r="AG76" s="249">
        <f t="shared" si="34"/>
        <v>0</v>
      </c>
      <c r="AH76" s="249">
        <f t="shared" si="34"/>
        <v>0</v>
      </c>
      <c r="AI76" s="249">
        <f t="shared" si="34"/>
        <v>9310.3019944000062</v>
      </c>
      <c r="AJ76" s="249">
        <f t="shared" si="34"/>
        <v>9310.3019944000062</v>
      </c>
      <c r="AK76" s="249">
        <f t="shared" si="34"/>
        <v>9310.3019944000062</v>
      </c>
      <c r="AL76" s="249">
        <f t="shared" si="34"/>
        <v>9310.3019944000062</v>
      </c>
      <c r="AM76" s="249">
        <f t="shared" si="34"/>
        <v>9310.3019944000062</v>
      </c>
      <c r="AN76" s="249">
        <f t="shared" si="34"/>
        <v>0</v>
      </c>
      <c r="AO76" s="249">
        <f t="shared" si="34"/>
        <v>0</v>
      </c>
      <c r="AP76" s="249">
        <f t="shared" si="34"/>
        <v>0</v>
      </c>
      <c r="AQ76" s="249">
        <f t="shared" si="34"/>
        <v>0</v>
      </c>
      <c r="AR76" s="249">
        <f t="shared" si="34"/>
        <v>0</v>
      </c>
      <c r="AS76" s="249">
        <f t="shared" si="34"/>
        <v>0</v>
      </c>
      <c r="AT76" s="249">
        <f t="shared" si="34"/>
        <v>0</v>
      </c>
      <c r="AU76" s="249">
        <f t="shared" si="34"/>
        <v>10241.332193839991</v>
      </c>
      <c r="AV76" s="249">
        <f t="shared" si="34"/>
        <v>10241.332193839991</v>
      </c>
      <c r="AW76" s="249">
        <f t="shared" si="34"/>
        <v>10241.332193839991</v>
      </c>
      <c r="AX76" s="249">
        <f t="shared" si="34"/>
        <v>10241.332193839991</v>
      </c>
      <c r="AY76" s="249">
        <f t="shared" si="34"/>
        <v>10241.332193839991</v>
      </c>
      <c r="AZ76" s="249">
        <f t="shared" si="34"/>
        <v>0</v>
      </c>
      <c r="BA76" s="249">
        <f t="shared" si="34"/>
        <v>0</v>
      </c>
      <c r="BB76" s="249">
        <f t="shared" si="34"/>
        <v>0</v>
      </c>
      <c r="BC76" s="249">
        <f t="shared" si="34"/>
        <v>0</v>
      </c>
      <c r="BD76" s="249">
        <f t="shared" si="34"/>
        <v>0</v>
      </c>
      <c r="BE76" s="249">
        <f t="shared" si="34"/>
        <v>0</v>
      </c>
      <c r="BF76" s="249">
        <f t="shared" si="34"/>
        <v>0</v>
      </c>
      <c r="BG76" s="249">
        <f t="shared" si="34"/>
        <v>11265.465413224005</v>
      </c>
      <c r="BH76" s="249">
        <f t="shared" si="34"/>
        <v>11265.465413224005</v>
      </c>
      <c r="BI76" s="249">
        <f t="shared" si="34"/>
        <v>11265.465413224005</v>
      </c>
      <c r="BJ76" s="249">
        <f t="shared" si="34"/>
        <v>11265.465413224005</v>
      </c>
      <c r="BK76" s="249">
        <f t="shared" si="34"/>
        <v>11265.465413224005</v>
      </c>
      <c r="BL76" s="249">
        <f t="shared" si="34"/>
        <v>0</v>
      </c>
      <c r="BM76" s="249">
        <f t="shared" si="34"/>
        <v>0</v>
      </c>
      <c r="BN76" s="249">
        <f t="shared" si="34"/>
        <v>0</v>
      </c>
      <c r="BO76" s="249">
        <f t="shared" si="34"/>
        <v>0</v>
      </c>
      <c r="BP76" s="249">
        <f t="shared" si="34"/>
        <v>0</v>
      </c>
      <c r="BQ76" s="249">
        <f t="shared" si="34"/>
        <v>0</v>
      </c>
      <c r="BR76" s="249">
        <f t="shared" si="34"/>
        <v>0</v>
      </c>
      <c r="BS76" s="249">
        <f t="shared" ref="BS76:BY76" si="35">BS74+BS75</f>
        <v>0</v>
      </c>
      <c r="BT76" s="249">
        <f t="shared" si="35"/>
        <v>0</v>
      </c>
      <c r="BU76" s="249">
        <f t="shared" si="35"/>
        <v>0</v>
      </c>
      <c r="BV76" s="249">
        <f t="shared" si="35"/>
        <v>0</v>
      </c>
      <c r="BW76" s="249">
        <f t="shared" si="35"/>
        <v>0</v>
      </c>
      <c r="BX76" s="249">
        <f t="shared" si="35"/>
        <v>0</v>
      </c>
      <c r="BY76" s="249">
        <f t="shared" si="35"/>
        <v>0</v>
      </c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</row>
    <row r="77" spans="1:125" s="217" customFormat="1" ht="17.25" customHeight="1" thickBot="1">
      <c r="A77" s="215"/>
      <c r="B77" s="216"/>
      <c r="C77" s="272"/>
      <c r="D77" s="272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</row>
    <row r="78" spans="1:125" ht="16.5" thickBot="1">
      <c r="A78" s="55"/>
      <c r="B78" s="65" t="s">
        <v>112</v>
      </c>
      <c r="C78" s="61"/>
      <c r="D78" s="61"/>
      <c r="E78" s="61"/>
      <c r="F78" s="434">
        <v>2023</v>
      </c>
      <c r="G78" s="435"/>
      <c r="H78" s="435"/>
      <c r="I78" s="435"/>
      <c r="J78" s="435"/>
      <c r="K78" s="435"/>
      <c r="L78" s="435"/>
      <c r="M78" s="435"/>
      <c r="N78" s="435"/>
      <c r="O78" s="435"/>
      <c r="P78" s="435"/>
      <c r="Q78" s="436"/>
      <c r="R78" s="434">
        <v>2024</v>
      </c>
      <c r="S78" s="435"/>
      <c r="T78" s="435"/>
      <c r="U78" s="435"/>
      <c r="V78" s="435"/>
      <c r="W78" s="435"/>
      <c r="X78" s="435"/>
      <c r="Y78" s="435"/>
      <c r="Z78" s="435"/>
      <c r="AA78" s="435"/>
      <c r="AB78" s="435"/>
      <c r="AC78" s="436"/>
      <c r="AD78" s="434">
        <v>2025</v>
      </c>
      <c r="AE78" s="435"/>
      <c r="AF78" s="435"/>
      <c r="AG78" s="435"/>
      <c r="AH78" s="435"/>
      <c r="AI78" s="435"/>
      <c r="AJ78" s="435"/>
      <c r="AK78" s="435"/>
      <c r="AL78" s="435"/>
      <c r="AM78" s="435"/>
      <c r="AN78" s="435"/>
      <c r="AO78" s="436"/>
      <c r="AP78" s="434">
        <v>2026</v>
      </c>
      <c r="AQ78" s="435"/>
      <c r="AR78" s="435"/>
      <c r="AS78" s="435"/>
      <c r="AT78" s="435"/>
      <c r="AU78" s="435"/>
      <c r="AV78" s="435"/>
      <c r="AW78" s="435"/>
      <c r="AX78" s="435"/>
      <c r="AY78" s="435"/>
      <c r="AZ78" s="435"/>
      <c r="BA78" s="436"/>
      <c r="BB78" s="434">
        <v>2027</v>
      </c>
      <c r="BC78" s="435"/>
      <c r="BD78" s="435"/>
      <c r="BE78" s="435"/>
      <c r="BF78" s="435"/>
      <c r="BG78" s="435"/>
      <c r="BH78" s="435"/>
      <c r="BI78" s="435"/>
      <c r="BJ78" s="435"/>
      <c r="BK78" s="435"/>
      <c r="BL78" s="435"/>
      <c r="BM78" s="436"/>
      <c r="BN78" s="434">
        <v>2028</v>
      </c>
      <c r="BO78" s="435"/>
      <c r="BP78" s="435"/>
      <c r="BQ78" s="435"/>
      <c r="BR78" s="435"/>
      <c r="BS78" s="435"/>
      <c r="BT78" s="435"/>
      <c r="BU78" s="435"/>
      <c r="BV78" s="435"/>
      <c r="BW78" s="435"/>
      <c r="BX78" s="435"/>
      <c r="BY78" s="436"/>
      <c r="BZ78" s="434">
        <v>2029</v>
      </c>
      <c r="CA78" s="435"/>
      <c r="CB78" s="435"/>
      <c r="CC78" s="435"/>
      <c r="CD78" s="435"/>
      <c r="CE78" s="435"/>
      <c r="CF78" s="435"/>
      <c r="CG78" s="435"/>
      <c r="CH78" s="435"/>
      <c r="CI78" s="435"/>
      <c r="CJ78" s="435"/>
      <c r="CK78" s="436"/>
      <c r="CL78" s="434">
        <v>2030</v>
      </c>
      <c r="CM78" s="435"/>
      <c r="CN78" s="435"/>
      <c r="CO78" s="435"/>
      <c r="CP78" s="435"/>
      <c r="CQ78" s="435"/>
      <c r="CR78" s="435"/>
      <c r="CS78" s="435"/>
      <c r="CT78" s="435"/>
      <c r="CU78" s="435"/>
      <c r="CV78" s="435"/>
      <c r="CW78" s="436"/>
      <c r="CX78" s="434">
        <v>2031</v>
      </c>
      <c r="CY78" s="435"/>
      <c r="CZ78" s="435"/>
      <c r="DA78" s="435"/>
      <c r="DB78" s="435"/>
      <c r="DC78" s="435"/>
      <c r="DD78" s="435"/>
      <c r="DE78" s="435"/>
      <c r="DF78" s="435"/>
      <c r="DG78" s="435"/>
      <c r="DH78" s="435"/>
      <c r="DI78" s="436"/>
      <c r="DJ78" s="434">
        <v>2032</v>
      </c>
      <c r="DK78" s="435"/>
      <c r="DL78" s="435"/>
      <c r="DM78" s="435"/>
      <c r="DN78" s="435"/>
      <c r="DO78" s="435"/>
      <c r="DP78" s="435"/>
      <c r="DQ78" s="435"/>
      <c r="DR78" s="435"/>
      <c r="DS78" s="435"/>
      <c r="DT78" s="435"/>
      <c r="DU78" s="436"/>
    </row>
    <row r="79" spans="1:125" ht="27" customHeight="1">
      <c r="A79" s="55"/>
      <c r="B79" s="282" t="s">
        <v>113</v>
      </c>
      <c r="C79" s="283" t="s">
        <v>114</v>
      </c>
      <c r="D79" s="382"/>
      <c r="E79" s="284" t="s">
        <v>141</v>
      </c>
      <c r="F79" s="327">
        <v>44927</v>
      </c>
      <c r="G79" s="327">
        <v>44958</v>
      </c>
      <c r="H79" s="327">
        <v>44986</v>
      </c>
      <c r="I79" s="327">
        <v>45017</v>
      </c>
      <c r="J79" s="327">
        <v>45047</v>
      </c>
      <c r="K79" s="327">
        <v>45078</v>
      </c>
      <c r="L79" s="327">
        <v>45108</v>
      </c>
      <c r="M79" s="327">
        <v>45139</v>
      </c>
      <c r="N79" s="327">
        <v>45170</v>
      </c>
      <c r="O79" s="327">
        <v>45200</v>
      </c>
      <c r="P79" s="327">
        <v>45231</v>
      </c>
      <c r="Q79" s="327">
        <v>45261</v>
      </c>
      <c r="R79" s="327">
        <v>45292</v>
      </c>
      <c r="S79" s="327">
        <v>45323</v>
      </c>
      <c r="T79" s="327">
        <v>45352</v>
      </c>
      <c r="U79" s="327">
        <v>45383</v>
      </c>
      <c r="V79" s="327">
        <v>45413</v>
      </c>
      <c r="W79" s="327">
        <v>45444</v>
      </c>
      <c r="X79" s="327">
        <v>45474</v>
      </c>
      <c r="Y79" s="327">
        <v>45505</v>
      </c>
      <c r="Z79" s="327">
        <v>45536</v>
      </c>
      <c r="AA79" s="327">
        <v>45566</v>
      </c>
      <c r="AB79" s="327">
        <v>45597</v>
      </c>
      <c r="AC79" s="327">
        <v>45627</v>
      </c>
      <c r="AD79" s="327">
        <v>45658</v>
      </c>
      <c r="AE79" s="327">
        <v>45689</v>
      </c>
      <c r="AF79" s="327">
        <v>45717</v>
      </c>
      <c r="AG79" s="327">
        <v>45748</v>
      </c>
      <c r="AH79" s="327">
        <v>45778</v>
      </c>
      <c r="AI79" s="327">
        <v>45809</v>
      </c>
      <c r="AJ79" s="327">
        <v>45839</v>
      </c>
      <c r="AK79" s="327">
        <v>45870</v>
      </c>
      <c r="AL79" s="327">
        <v>45901</v>
      </c>
      <c r="AM79" s="327">
        <v>45931</v>
      </c>
      <c r="AN79" s="327">
        <v>45962</v>
      </c>
      <c r="AO79" s="327">
        <v>45992</v>
      </c>
      <c r="AP79" s="327">
        <v>46023</v>
      </c>
      <c r="AQ79" s="327">
        <v>46054</v>
      </c>
      <c r="AR79" s="327">
        <v>46082</v>
      </c>
      <c r="AS79" s="327">
        <v>46113</v>
      </c>
      <c r="AT79" s="327">
        <v>46143</v>
      </c>
      <c r="AU79" s="327">
        <v>46174</v>
      </c>
      <c r="AV79" s="327">
        <v>46204</v>
      </c>
      <c r="AW79" s="327">
        <v>46235</v>
      </c>
      <c r="AX79" s="327">
        <v>46266</v>
      </c>
      <c r="AY79" s="327">
        <v>46296</v>
      </c>
      <c r="AZ79" s="327">
        <v>46327</v>
      </c>
      <c r="BA79" s="327">
        <v>46357</v>
      </c>
      <c r="BB79" s="327">
        <v>46388</v>
      </c>
      <c r="BC79" s="327">
        <v>46419</v>
      </c>
      <c r="BD79" s="327">
        <v>46447</v>
      </c>
      <c r="BE79" s="327">
        <v>46478</v>
      </c>
      <c r="BF79" s="327">
        <v>46508</v>
      </c>
      <c r="BG79" s="327">
        <v>46539</v>
      </c>
      <c r="BH79" s="327">
        <v>46569</v>
      </c>
      <c r="BI79" s="327">
        <v>46600</v>
      </c>
      <c r="BJ79" s="327">
        <v>46631</v>
      </c>
      <c r="BK79" s="327">
        <v>46661</v>
      </c>
      <c r="BL79" s="327">
        <v>46692</v>
      </c>
      <c r="BM79" s="327">
        <v>46722</v>
      </c>
      <c r="BN79" s="327">
        <v>46753</v>
      </c>
      <c r="BO79" s="327">
        <v>46784</v>
      </c>
      <c r="BP79" s="327">
        <v>46813</v>
      </c>
      <c r="BQ79" s="327">
        <v>46844</v>
      </c>
      <c r="BR79" s="327">
        <v>46874</v>
      </c>
      <c r="BS79" s="327">
        <v>46905</v>
      </c>
      <c r="BT79" s="327">
        <v>46935</v>
      </c>
      <c r="BU79" s="327">
        <v>46966</v>
      </c>
      <c r="BV79" s="327">
        <v>46997</v>
      </c>
      <c r="BW79" s="327">
        <v>47027</v>
      </c>
      <c r="BX79" s="327">
        <v>47058</v>
      </c>
      <c r="BY79" s="327">
        <v>47088</v>
      </c>
      <c r="BZ79" s="327">
        <v>47119</v>
      </c>
      <c r="CA79" s="327">
        <v>47150</v>
      </c>
      <c r="CB79" s="327">
        <v>47178</v>
      </c>
      <c r="CC79" s="327">
        <v>47209</v>
      </c>
      <c r="CD79" s="327">
        <v>47239</v>
      </c>
      <c r="CE79" s="327">
        <v>47270</v>
      </c>
      <c r="CF79" s="327">
        <v>47300</v>
      </c>
      <c r="CG79" s="327">
        <v>47331</v>
      </c>
      <c r="CH79" s="327">
        <v>47362</v>
      </c>
      <c r="CI79" s="327">
        <v>47392</v>
      </c>
      <c r="CJ79" s="327">
        <v>47423</v>
      </c>
      <c r="CK79" s="327">
        <v>47453</v>
      </c>
      <c r="CL79" s="327">
        <v>47484</v>
      </c>
      <c r="CM79" s="327">
        <v>47515</v>
      </c>
      <c r="CN79" s="327">
        <v>47543</v>
      </c>
      <c r="CO79" s="327">
        <v>47574</v>
      </c>
      <c r="CP79" s="327">
        <v>47604</v>
      </c>
      <c r="CQ79" s="327">
        <v>47635</v>
      </c>
      <c r="CR79" s="327">
        <v>47665</v>
      </c>
      <c r="CS79" s="327">
        <v>47696</v>
      </c>
      <c r="CT79" s="327">
        <v>47727</v>
      </c>
      <c r="CU79" s="327">
        <v>47757</v>
      </c>
      <c r="CV79" s="327">
        <v>47788</v>
      </c>
      <c r="CW79" s="327">
        <v>47818</v>
      </c>
      <c r="CX79" s="327">
        <v>47849</v>
      </c>
      <c r="CY79" s="327">
        <v>47880</v>
      </c>
      <c r="CZ79" s="327">
        <v>47908</v>
      </c>
      <c r="DA79" s="327">
        <v>47939</v>
      </c>
      <c r="DB79" s="327">
        <v>47969</v>
      </c>
      <c r="DC79" s="327">
        <v>48000</v>
      </c>
      <c r="DD79" s="327">
        <v>48030</v>
      </c>
      <c r="DE79" s="327">
        <v>48061</v>
      </c>
      <c r="DF79" s="327">
        <v>48092</v>
      </c>
      <c r="DG79" s="327">
        <v>48122</v>
      </c>
      <c r="DH79" s="327">
        <v>48153</v>
      </c>
      <c r="DI79" s="327">
        <v>48183</v>
      </c>
      <c r="DJ79" s="327">
        <v>48214</v>
      </c>
      <c r="DK79" s="327">
        <v>48245</v>
      </c>
      <c r="DL79" s="327">
        <v>48274</v>
      </c>
      <c r="DM79" s="327">
        <v>48305</v>
      </c>
      <c r="DN79" s="327">
        <v>48335</v>
      </c>
      <c r="DO79" s="327">
        <v>48366</v>
      </c>
      <c r="DP79" s="327">
        <v>48396</v>
      </c>
      <c r="DQ79" s="327">
        <v>48427</v>
      </c>
      <c r="DR79" s="327">
        <v>48458</v>
      </c>
      <c r="DS79" s="327">
        <v>48488</v>
      </c>
      <c r="DT79" s="327">
        <v>48519</v>
      </c>
      <c r="DU79" s="327">
        <v>48549</v>
      </c>
    </row>
    <row r="80" spans="1:125">
      <c r="B80" s="297" t="s">
        <v>210</v>
      </c>
      <c r="C80" s="298">
        <f>C81</f>
        <v>49305.125000000007</v>
      </c>
      <c r="D80" s="299"/>
      <c r="E80" s="299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  <c r="BO80" s="298"/>
      <c r="BP80" s="298"/>
      <c r="BQ80" s="298"/>
      <c r="BR80" s="298"/>
      <c r="BS80" s="298"/>
      <c r="BT80" s="298"/>
      <c r="BU80" s="298"/>
      <c r="BV80" s="298"/>
      <c r="BW80" s="298"/>
      <c r="BX80" s="298"/>
      <c r="BY80" s="298"/>
      <c r="BZ80" s="298"/>
      <c r="CA80" s="298"/>
      <c r="CB80" s="298"/>
      <c r="CC80" s="298"/>
      <c r="CD80" s="298"/>
      <c r="CE80" s="298"/>
      <c r="CF80" s="298"/>
      <c r="CG80" s="298"/>
      <c r="CH80" s="298"/>
      <c r="CI80" s="298"/>
      <c r="CJ80" s="298"/>
      <c r="CK80" s="298"/>
      <c r="CL80" s="298"/>
      <c r="CM80" s="298"/>
      <c r="CN80" s="298"/>
      <c r="CO80" s="298"/>
      <c r="CP80" s="298"/>
      <c r="CQ80" s="298"/>
      <c r="CR80" s="298"/>
      <c r="CS80" s="298"/>
      <c r="CT80" s="298"/>
      <c r="CU80" s="298"/>
      <c r="CV80" s="298"/>
      <c r="CW80" s="298"/>
      <c r="CX80" s="298"/>
      <c r="CY80" s="298"/>
      <c r="CZ80" s="298"/>
      <c r="DA80" s="298"/>
      <c r="DB80" s="298"/>
      <c r="DC80" s="298"/>
      <c r="DD80" s="298"/>
      <c r="DE80" s="298"/>
      <c r="DF80" s="298"/>
      <c r="DG80" s="298"/>
      <c r="DH80" s="298"/>
      <c r="DI80" s="298"/>
      <c r="DJ80" s="298"/>
      <c r="DK80" s="298"/>
      <c r="DL80" s="298"/>
      <c r="DM80" s="298"/>
      <c r="DN80" s="298"/>
      <c r="DO80" s="298"/>
      <c r="DP80" s="298"/>
      <c r="DQ80" s="298"/>
      <c r="DR80" s="298"/>
      <c r="DS80" s="298"/>
      <c r="DT80" s="298"/>
      <c r="DU80" s="298"/>
    </row>
    <row r="81" spans="1:125">
      <c r="A81" s="55"/>
      <c r="B81" s="277" t="s">
        <v>431</v>
      </c>
      <c r="C81" s="407">
        <f>E14-E14*Исх.данные!$B$21</f>
        <v>49305.125000000007</v>
      </c>
      <c r="D81" s="278"/>
      <c r="E81" s="305">
        <v>31</v>
      </c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>
        <f>$C$81/$E$81/12</f>
        <v>132.54065860215056</v>
      </c>
      <c r="R81" s="285">
        <f t="shared" ref="R81:CA81" si="36">$C$81/$E$81/12</f>
        <v>132.54065860215056</v>
      </c>
      <c r="S81" s="285">
        <f t="shared" si="36"/>
        <v>132.54065860215056</v>
      </c>
      <c r="T81" s="285">
        <f t="shared" si="36"/>
        <v>132.54065860215056</v>
      </c>
      <c r="U81" s="285">
        <f t="shared" si="36"/>
        <v>132.54065860215056</v>
      </c>
      <c r="V81" s="285">
        <f t="shared" si="36"/>
        <v>132.54065860215056</v>
      </c>
      <c r="W81" s="285">
        <f t="shared" si="36"/>
        <v>132.54065860215056</v>
      </c>
      <c r="X81" s="285">
        <f t="shared" si="36"/>
        <v>132.54065860215056</v>
      </c>
      <c r="Y81" s="285">
        <f t="shared" si="36"/>
        <v>132.54065860215056</v>
      </c>
      <c r="Z81" s="285">
        <f t="shared" si="36"/>
        <v>132.54065860215056</v>
      </c>
      <c r="AA81" s="285">
        <f t="shared" si="36"/>
        <v>132.54065860215056</v>
      </c>
      <c r="AB81" s="285">
        <f t="shared" si="36"/>
        <v>132.54065860215056</v>
      </c>
      <c r="AC81" s="285">
        <f t="shared" si="36"/>
        <v>132.54065860215056</v>
      </c>
      <c r="AD81" s="285">
        <f t="shared" si="36"/>
        <v>132.54065860215056</v>
      </c>
      <c r="AE81" s="285">
        <f t="shared" si="36"/>
        <v>132.54065860215056</v>
      </c>
      <c r="AF81" s="285">
        <f t="shared" si="36"/>
        <v>132.54065860215056</v>
      </c>
      <c r="AG81" s="285">
        <f t="shared" si="36"/>
        <v>132.54065860215056</v>
      </c>
      <c r="AH81" s="285">
        <f t="shared" si="36"/>
        <v>132.54065860215056</v>
      </c>
      <c r="AI81" s="285">
        <f t="shared" si="36"/>
        <v>132.54065860215056</v>
      </c>
      <c r="AJ81" s="285">
        <f t="shared" si="36"/>
        <v>132.54065860215056</v>
      </c>
      <c r="AK81" s="285">
        <f t="shared" si="36"/>
        <v>132.54065860215056</v>
      </c>
      <c r="AL81" s="285">
        <f t="shared" si="36"/>
        <v>132.54065860215056</v>
      </c>
      <c r="AM81" s="285">
        <f t="shared" si="36"/>
        <v>132.54065860215056</v>
      </c>
      <c r="AN81" s="285">
        <f t="shared" si="36"/>
        <v>132.54065860215056</v>
      </c>
      <c r="AO81" s="285">
        <f t="shared" si="36"/>
        <v>132.54065860215056</v>
      </c>
      <c r="AP81" s="285">
        <f t="shared" si="36"/>
        <v>132.54065860215056</v>
      </c>
      <c r="AQ81" s="285">
        <f t="shared" si="36"/>
        <v>132.54065860215056</v>
      </c>
      <c r="AR81" s="285">
        <f t="shared" si="36"/>
        <v>132.54065860215056</v>
      </c>
      <c r="AS81" s="285">
        <f t="shared" si="36"/>
        <v>132.54065860215056</v>
      </c>
      <c r="AT81" s="285">
        <f t="shared" si="36"/>
        <v>132.54065860215056</v>
      </c>
      <c r="AU81" s="285">
        <f t="shared" si="36"/>
        <v>132.54065860215056</v>
      </c>
      <c r="AV81" s="285">
        <f t="shared" si="36"/>
        <v>132.54065860215056</v>
      </c>
      <c r="AW81" s="285">
        <f t="shared" si="36"/>
        <v>132.54065860215056</v>
      </c>
      <c r="AX81" s="285">
        <f t="shared" si="36"/>
        <v>132.54065860215056</v>
      </c>
      <c r="AY81" s="285">
        <f t="shared" si="36"/>
        <v>132.54065860215056</v>
      </c>
      <c r="AZ81" s="285">
        <f t="shared" si="36"/>
        <v>132.54065860215056</v>
      </c>
      <c r="BA81" s="285">
        <f t="shared" si="36"/>
        <v>132.54065860215056</v>
      </c>
      <c r="BB81" s="285">
        <f t="shared" si="36"/>
        <v>132.54065860215056</v>
      </c>
      <c r="BC81" s="285">
        <f t="shared" si="36"/>
        <v>132.54065860215056</v>
      </c>
      <c r="BD81" s="285">
        <f t="shared" si="36"/>
        <v>132.54065860215056</v>
      </c>
      <c r="BE81" s="285">
        <f t="shared" si="36"/>
        <v>132.54065860215056</v>
      </c>
      <c r="BF81" s="285">
        <f t="shared" si="36"/>
        <v>132.54065860215056</v>
      </c>
      <c r="BG81" s="285">
        <f t="shared" si="36"/>
        <v>132.54065860215056</v>
      </c>
      <c r="BH81" s="285">
        <f t="shared" si="36"/>
        <v>132.54065860215056</v>
      </c>
      <c r="BI81" s="285">
        <f t="shared" si="36"/>
        <v>132.54065860215056</v>
      </c>
      <c r="BJ81" s="285">
        <f t="shared" si="36"/>
        <v>132.54065860215056</v>
      </c>
      <c r="BK81" s="285">
        <f t="shared" si="36"/>
        <v>132.54065860215056</v>
      </c>
      <c r="BL81" s="285">
        <f t="shared" si="36"/>
        <v>132.54065860215056</v>
      </c>
      <c r="BM81" s="285">
        <f t="shared" si="36"/>
        <v>132.54065860215056</v>
      </c>
      <c r="BN81" s="285">
        <f t="shared" si="36"/>
        <v>132.54065860215056</v>
      </c>
      <c r="BO81" s="285">
        <f t="shared" si="36"/>
        <v>132.54065860215056</v>
      </c>
      <c r="BP81" s="285">
        <f t="shared" si="36"/>
        <v>132.54065860215056</v>
      </c>
      <c r="BQ81" s="285">
        <f t="shared" si="36"/>
        <v>132.54065860215056</v>
      </c>
      <c r="BR81" s="285">
        <f t="shared" si="36"/>
        <v>132.54065860215056</v>
      </c>
      <c r="BS81" s="285">
        <f t="shared" si="36"/>
        <v>132.54065860215056</v>
      </c>
      <c r="BT81" s="285">
        <f t="shared" si="36"/>
        <v>132.54065860215056</v>
      </c>
      <c r="BU81" s="285">
        <f t="shared" si="36"/>
        <v>132.54065860215056</v>
      </c>
      <c r="BV81" s="285">
        <f t="shared" si="36"/>
        <v>132.54065860215056</v>
      </c>
      <c r="BW81" s="285">
        <f t="shared" si="36"/>
        <v>132.54065860215056</v>
      </c>
      <c r="BX81" s="285">
        <f t="shared" si="36"/>
        <v>132.54065860215056</v>
      </c>
      <c r="BY81" s="285">
        <f t="shared" si="36"/>
        <v>132.54065860215056</v>
      </c>
      <c r="BZ81" s="285">
        <f t="shared" si="36"/>
        <v>132.54065860215056</v>
      </c>
      <c r="CA81" s="285">
        <f t="shared" si="36"/>
        <v>132.54065860215056</v>
      </c>
      <c r="CB81" s="285">
        <f t="shared" ref="CB81:DU81" si="37">$C$81/$E$81/12</f>
        <v>132.54065860215056</v>
      </c>
      <c r="CC81" s="285">
        <f t="shared" si="37"/>
        <v>132.54065860215056</v>
      </c>
      <c r="CD81" s="285">
        <f t="shared" si="37"/>
        <v>132.54065860215056</v>
      </c>
      <c r="CE81" s="285">
        <f t="shared" si="37"/>
        <v>132.54065860215056</v>
      </c>
      <c r="CF81" s="285">
        <f t="shared" si="37"/>
        <v>132.54065860215056</v>
      </c>
      <c r="CG81" s="285">
        <f t="shared" si="37"/>
        <v>132.54065860215056</v>
      </c>
      <c r="CH81" s="285">
        <f t="shared" si="37"/>
        <v>132.54065860215056</v>
      </c>
      <c r="CI81" s="285">
        <f t="shared" si="37"/>
        <v>132.54065860215056</v>
      </c>
      <c r="CJ81" s="285">
        <f t="shared" si="37"/>
        <v>132.54065860215056</v>
      </c>
      <c r="CK81" s="285">
        <f t="shared" si="37"/>
        <v>132.54065860215056</v>
      </c>
      <c r="CL81" s="285">
        <f t="shared" si="37"/>
        <v>132.54065860215056</v>
      </c>
      <c r="CM81" s="285">
        <f t="shared" si="37"/>
        <v>132.54065860215056</v>
      </c>
      <c r="CN81" s="285">
        <f t="shared" si="37"/>
        <v>132.54065860215056</v>
      </c>
      <c r="CO81" s="285">
        <f t="shared" si="37"/>
        <v>132.54065860215056</v>
      </c>
      <c r="CP81" s="285">
        <f t="shared" si="37"/>
        <v>132.54065860215056</v>
      </c>
      <c r="CQ81" s="285">
        <f t="shared" si="37"/>
        <v>132.54065860215056</v>
      </c>
      <c r="CR81" s="285">
        <f t="shared" si="37"/>
        <v>132.54065860215056</v>
      </c>
      <c r="CS81" s="285">
        <f t="shared" si="37"/>
        <v>132.54065860215056</v>
      </c>
      <c r="CT81" s="285">
        <f t="shared" si="37"/>
        <v>132.54065860215056</v>
      </c>
      <c r="CU81" s="285">
        <f t="shared" si="37"/>
        <v>132.54065860215056</v>
      </c>
      <c r="CV81" s="285">
        <f t="shared" si="37"/>
        <v>132.54065860215056</v>
      </c>
      <c r="CW81" s="285">
        <f t="shared" si="37"/>
        <v>132.54065860215056</v>
      </c>
      <c r="CX81" s="285">
        <f t="shared" si="37"/>
        <v>132.54065860215056</v>
      </c>
      <c r="CY81" s="285">
        <f t="shared" si="37"/>
        <v>132.54065860215056</v>
      </c>
      <c r="CZ81" s="285">
        <f t="shared" si="37"/>
        <v>132.54065860215056</v>
      </c>
      <c r="DA81" s="285">
        <f t="shared" si="37"/>
        <v>132.54065860215056</v>
      </c>
      <c r="DB81" s="285">
        <f t="shared" si="37"/>
        <v>132.54065860215056</v>
      </c>
      <c r="DC81" s="285">
        <f t="shared" si="37"/>
        <v>132.54065860215056</v>
      </c>
      <c r="DD81" s="285">
        <f t="shared" si="37"/>
        <v>132.54065860215056</v>
      </c>
      <c r="DE81" s="285">
        <f t="shared" si="37"/>
        <v>132.54065860215056</v>
      </c>
      <c r="DF81" s="285">
        <f t="shared" si="37"/>
        <v>132.54065860215056</v>
      </c>
      <c r="DG81" s="285">
        <f t="shared" si="37"/>
        <v>132.54065860215056</v>
      </c>
      <c r="DH81" s="285">
        <f t="shared" si="37"/>
        <v>132.54065860215056</v>
      </c>
      <c r="DI81" s="285">
        <f t="shared" si="37"/>
        <v>132.54065860215056</v>
      </c>
      <c r="DJ81" s="285">
        <f t="shared" si="37"/>
        <v>132.54065860215056</v>
      </c>
      <c r="DK81" s="285">
        <f t="shared" si="37"/>
        <v>132.54065860215056</v>
      </c>
      <c r="DL81" s="285">
        <f t="shared" si="37"/>
        <v>132.54065860215056</v>
      </c>
      <c r="DM81" s="285">
        <f t="shared" si="37"/>
        <v>132.54065860215056</v>
      </c>
      <c r="DN81" s="285">
        <f t="shared" si="37"/>
        <v>132.54065860215056</v>
      </c>
      <c r="DO81" s="285">
        <f t="shared" si="37"/>
        <v>132.54065860215056</v>
      </c>
      <c r="DP81" s="285">
        <f t="shared" si="37"/>
        <v>132.54065860215056</v>
      </c>
      <c r="DQ81" s="285">
        <f t="shared" si="37"/>
        <v>132.54065860215056</v>
      </c>
      <c r="DR81" s="285">
        <f t="shared" si="37"/>
        <v>132.54065860215056</v>
      </c>
      <c r="DS81" s="285">
        <f t="shared" si="37"/>
        <v>132.54065860215056</v>
      </c>
      <c r="DT81" s="285">
        <f t="shared" si="37"/>
        <v>132.54065860215056</v>
      </c>
      <c r="DU81" s="285">
        <f t="shared" si="37"/>
        <v>132.54065860215056</v>
      </c>
    </row>
    <row r="82" spans="1:125">
      <c r="A82" s="55"/>
      <c r="B82" s="277" t="s">
        <v>432</v>
      </c>
      <c r="C82" s="407">
        <f>E37-E37*Исх.данные!$B$21</f>
        <v>38032.279388888914</v>
      </c>
      <c r="D82" s="278"/>
      <c r="E82" s="305">
        <v>31</v>
      </c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>
        <f>$C$82/$E$82/12</f>
        <v>102.23731018518525</v>
      </c>
      <c r="AD82" s="285">
        <f t="shared" ref="AD82:CO82" si="38">$C$82/$E$82/12</f>
        <v>102.23731018518525</v>
      </c>
      <c r="AE82" s="285">
        <f t="shared" si="38"/>
        <v>102.23731018518525</v>
      </c>
      <c r="AF82" s="285">
        <f t="shared" si="38"/>
        <v>102.23731018518525</v>
      </c>
      <c r="AG82" s="285">
        <f t="shared" si="38"/>
        <v>102.23731018518525</v>
      </c>
      <c r="AH82" s="285">
        <f t="shared" si="38"/>
        <v>102.23731018518525</v>
      </c>
      <c r="AI82" s="285">
        <f t="shared" si="38"/>
        <v>102.23731018518525</v>
      </c>
      <c r="AJ82" s="285">
        <f t="shared" si="38"/>
        <v>102.23731018518525</v>
      </c>
      <c r="AK82" s="285">
        <f t="shared" si="38"/>
        <v>102.23731018518525</v>
      </c>
      <c r="AL82" s="285">
        <f t="shared" si="38"/>
        <v>102.23731018518525</v>
      </c>
      <c r="AM82" s="285">
        <f t="shared" si="38"/>
        <v>102.23731018518525</v>
      </c>
      <c r="AN82" s="285">
        <f t="shared" si="38"/>
        <v>102.23731018518525</v>
      </c>
      <c r="AO82" s="285">
        <f t="shared" si="38"/>
        <v>102.23731018518525</v>
      </c>
      <c r="AP82" s="285">
        <f t="shared" si="38"/>
        <v>102.23731018518525</v>
      </c>
      <c r="AQ82" s="285">
        <f t="shared" si="38"/>
        <v>102.23731018518525</v>
      </c>
      <c r="AR82" s="285">
        <f t="shared" si="38"/>
        <v>102.23731018518525</v>
      </c>
      <c r="AS82" s="285">
        <f t="shared" si="38"/>
        <v>102.23731018518525</v>
      </c>
      <c r="AT82" s="285">
        <f t="shared" si="38"/>
        <v>102.23731018518525</v>
      </c>
      <c r="AU82" s="285">
        <f t="shared" si="38"/>
        <v>102.23731018518525</v>
      </c>
      <c r="AV82" s="285">
        <f t="shared" si="38"/>
        <v>102.23731018518525</v>
      </c>
      <c r="AW82" s="285">
        <f t="shared" si="38"/>
        <v>102.23731018518525</v>
      </c>
      <c r="AX82" s="285">
        <f t="shared" si="38"/>
        <v>102.23731018518525</v>
      </c>
      <c r="AY82" s="285">
        <f t="shared" si="38"/>
        <v>102.23731018518525</v>
      </c>
      <c r="AZ82" s="285">
        <f t="shared" si="38"/>
        <v>102.23731018518525</v>
      </c>
      <c r="BA82" s="285">
        <f t="shared" si="38"/>
        <v>102.23731018518525</v>
      </c>
      <c r="BB82" s="285">
        <f t="shared" si="38"/>
        <v>102.23731018518525</v>
      </c>
      <c r="BC82" s="285">
        <f t="shared" si="38"/>
        <v>102.23731018518525</v>
      </c>
      <c r="BD82" s="285">
        <f t="shared" si="38"/>
        <v>102.23731018518525</v>
      </c>
      <c r="BE82" s="285">
        <f t="shared" si="38"/>
        <v>102.23731018518525</v>
      </c>
      <c r="BF82" s="285">
        <f t="shared" si="38"/>
        <v>102.23731018518525</v>
      </c>
      <c r="BG82" s="285">
        <f t="shared" si="38"/>
        <v>102.23731018518525</v>
      </c>
      <c r="BH82" s="285">
        <f t="shared" si="38"/>
        <v>102.23731018518525</v>
      </c>
      <c r="BI82" s="285">
        <f t="shared" si="38"/>
        <v>102.23731018518525</v>
      </c>
      <c r="BJ82" s="285">
        <f t="shared" si="38"/>
        <v>102.23731018518525</v>
      </c>
      <c r="BK82" s="285">
        <f t="shared" si="38"/>
        <v>102.23731018518525</v>
      </c>
      <c r="BL82" s="285">
        <f t="shared" si="38"/>
        <v>102.23731018518525</v>
      </c>
      <c r="BM82" s="285">
        <f t="shared" si="38"/>
        <v>102.23731018518525</v>
      </c>
      <c r="BN82" s="285">
        <f t="shared" si="38"/>
        <v>102.23731018518525</v>
      </c>
      <c r="BO82" s="285">
        <f t="shared" si="38"/>
        <v>102.23731018518525</v>
      </c>
      <c r="BP82" s="285">
        <f t="shared" si="38"/>
        <v>102.23731018518525</v>
      </c>
      <c r="BQ82" s="285">
        <f t="shared" si="38"/>
        <v>102.23731018518525</v>
      </c>
      <c r="BR82" s="285">
        <f t="shared" si="38"/>
        <v>102.23731018518525</v>
      </c>
      <c r="BS82" s="285">
        <f t="shared" si="38"/>
        <v>102.23731018518525</v>
      </c>
      <c r="BT82" s="285">
        <f t="shared" si="38"/>
        <v>102.23731018518525</v>
      </c>
      <c r="BU82" s="285">
        <f t="shared" si="38"/>
        <v>102.23731018518525</v>
      </c>
      <c r="BV82" s="285">
        <f t="shared" si="38"/>
        <v>102.23731018518525</v>
      </c>
      <c r="BW82" s="285">
        <f t="shared" si="38"/>
        <v>102.23731018518525</v>
      </c>
      <c r="BX82" s="285">
        <f t="shared" si="38"/>
        <v>102.23731018518525</v>
      </c>
      <c r="BY82" s="285">
        <f t="shared" si="38"/>
        <v>102.23731018518525</v>
      </c>
      <c r="BZ82" s="285">
        <f t="shared" si="38"/>
        <v>102.23731018518525</v>
      </c>
      <c r="CA82" s="285">
        <f t="shared" si="38"/>
        <v>102.23731018518525</v>
      </c>
      <c r="CB82" s="285">
        <f t="shared" si="38"/>
        <v>102.23731018518525</v>
      </c>
      <c r="CC82" s="285">
        <f t="shared" si="38"/>
        <v>102.23731018518525</v>
      </c>
      <c r="CD82" s="285">
        <f t="shared" si="38"/>
        <v>102.23731018518525</v>
      </c>
      <c r="CE82" s="285">
        <f t="shared" si="38"/>
        <v>102.23731018518525</v>
      </c>
      <c r="CF82" s="285">
        <f t="shared" si="38"/>
        <v>102.23731018518525</v>
      </c>
      <c r="CG82" s="285">
        <f t="shared" si="38"/>
        <v>102.23731018518525</v>
      </c>
      <c r="CH82" s="285">
        <f t="shared" si="38"/>
        <v>102.23731018518525</v>
      </c>
      <c r="CI82" s="285">
        <f t="shared" si="38"/>
        <v>102.23731018518525</v>
      </c>
      <c r="CJ82" s="285">
        <f t="shared" si="38"/>
        <v>102.23731018518525</v>
      </c>
      <c r="CK82" s="285">
        <f t="shared" si="38"/>
        <v>102.23731018518525</v>
      </c>
      <c r="CL82" s="285">
        <f t="shared" si="38"/>
        <v>102.23731018518525</v>
      </c>
      <c r="CM82" s="285">
        <f t="shared" si="38"/>
        <v>102.23731018518525</v>
      </c>
      <c r="CN82" s="285">
        <f t="shared" si="38"/>
        <v>102.23731018518525</v>
      </c>
      <c r="CO82" s="285">
        <f t="shared" si="38"/>
        <v>102.23731018518525</v>
      </c>
      <c r="CP82" s="285">
        <f t="shared" ref="CP82:DU82" si="39">$C$82/$E$82/12</f>
        <v>102.23731018518525</v>
      </c>
      <c r="CQ82" s="285">
        <f t="shared" si="39"/>
        <v>102.23731018518525</v>
      </c>
      <c r="CR82" s="285">
        <f t="shared" si="39"/>
        <v>102.23731018518525</v>
      </c>
      <c r="CS82" s="285">
        <f t="shared" si="39"/>
        <v>102.23731018518525</v>
      </c>
      <c r="CT82" s="285">
        <f t="shared" si="39"/>
        <v>102.23731018518525</v>
      </c>
      <c r="CU82" s="285">
        <f t="shared" si="39"/>
        <v>102.23731018518525</v>
      </c>
      <c r="CV82" s="285">
        <f t="shared" si="39"/>
        <v>102.23731018518525</v>
      </c>
      <c r="CW82" s="285">
        <f t="shared" si="39"/>
        <v>102.23731018518525</v>
      </c>
      <c r="CX82" s="285">
        <f t="shared" si="39"/>
        <v>102.23731018518525</v>
      </c>
      <c r="CY82" s="285">
        <f t="shared" si="39"/>
        <v>102.23731018518525</v>
      </c>
      <c r="CZ82" s="285">
        <f t="shared" si="39"/>
        <v>102.23731018518525</v>
      </c>
      <c r="DA82" s="285">
        <f t="shared" si="39"/>
        <v>102.23731018518525</v>
      </c>
      <c r="DB82" s="285">
        <f t="shared" si="39"/>
        <v>102.23731018518525</v>
      </c>
      <c r="DC82" s="285">
        <f t="shared" si="39"/>
        <v>102.23731018518525</v>
      </c>
      <c r="DD82" s="285">
        <f t="shared" si="39"/>
        <v>102.23731018518525</v>
      </c>
      <c r="DE82" s="285">
        <f t="shared" si="39"/>
        <v>102.23731018518525</v>
      </c>
      <c r="DF82" s="285">
        <f t="shared" si="39"/>
        <v>102.23731018518525</v>
      </c>
      <c r="DG82" s="285">
        <f t="shared" si="39"/>
        <v>102.23731018518525</v>
      </c>
      <c r="DH82" s="285">
        <f t="shared" si="39"/>
        <v>102.23731018518525</v>
      </c>
      <c r="DI82" s="285">
        <f t="shared" si="39"/>
        <v>102.23731018518525</v>
      </c>
      <c r="DJ82" s="285">
        <f t="shared" si="39"/>
        <v>102.23731018518525</v>
      </c>
      <c r="DK82" s="285">
        <f t="shared" si="39"/>
        <v>102.23731018518525</v>
      </c>
      <c r="DL82" s="285">
        <f t="shared" si="39"/>
        <v>102.23731018518525</v>
      </c>
      <c r="DM82" s="285">
        <f t="shared" si="39"/>
        <v>102.23731018518525</v>
      </c>
      <c r="DN82" s="285">
        <f t="shared" si="39"/>
        <v>102.23731018518525</v>
      </c>
      <c r="DO82" s="285">
        <f t="shared" si="39"/>
        <v>102.23731018518525</v>
      </c>
      <c r="DP82" s="285">
        <f t="shared" si="39"/>
        <v>102.23731018518525</v>
      </c>
      <c r="DQ82" s="285">
        <f t="shared" si="39"/>
        <v>102.23731018518525</v>
      </c>
      <c r="DR82" s="285">
        <f t="shared" si="39"/>
        <v>102.23731018518525</v>
      </c>
      <c r="DS82" s="285">
        <f t="shared" si="39"/>
        <v>102.23731018518525</v>
      </c>
      <c r="DT82" s="285">
        <f t="shared" si="39"/>
        <v>102.23731018518525</v>
      </c>
      <c r="DU82" s="285">
        <f t="shared" si="39"/>
        <v>102.23731018518525</v>
      </c>
    </row>
    <row r="83" spans="1:125">
      <c r="A83" s="55"/>
      <c r="B83" s="277" t="s">
        <v>433</v>
      </c>
      <c r="C83" s="407">
        <f>E38-E38*Исх.данные!$B$21</f>
        <v>41835.507327777748</v>
      </c>
      <c r="D83" s="278"/>
      <c r="E83" s="305">
        <v>31</v>
      </c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>
        <f>$C$83/$E$83/12</f>
        <v>112.46104120370363</v>
      </c>
      <c r="AP83" s="285">
        <f t="shared" ref="AP83:DA83" si="40">$C$83/$E$83/12</f>
        <v>112.46104120370363</v>
      </c>
      <c r="AQ83" s="285">
        <f t="shared" si="40"/>
        <v>112.46104120370363</v>
      </c>
      <c r="AR83" s="285">
        <f t="shared" si="40"/>
        <v>112.46104120370363</v>
      </c>
      <c r="AS83" s="285">
        <f t="shared" si="40"/>
        <v>112.46104120370363</v>
      </c>
      <c r="AT83" s="285">
        <f t="shared" si="40"/>
        <v>112.46104120370363</v>
      </c>
      <c r="AU83" s="285">
        <f t="shared" si="40"/>
        <v>112.46104120370363</v>
      </c>
      <c r="AV83" s="285">
        <f t="shared" si="40"/>
        <v>112.46104120370363</v>
      </c>
      <c r="AW83" s="285">
        <f t="shared" si="40"/>
        <v>112.46104120370363</v>
      </c>
      <c r="AX83" s="285">
        <f t="shared" si="40"/>
        <v>112.46104120370363</v>
      </c>
      <c r="AY83" s="285">
        <f t="shared" si="40"/>
        <v>112.46104120370363</v>
      </c>
      <c r="AZ83" s="285">
        <f t="shared" si="40"/>
        <v>112.46104120370363</v>
      </c>
      <c r="BA83" s="285">
        <f t="shared" si="40"/>
        <v>112.46104120370363</v>
      </c>
      <c r="BB83" s="285">
        <f t="shared" si="40"/>
        <v>112.46104120370363</v>
      </c>
      <c r="BC83" s="285">
        <f t="shared" si="40"/>
        <v>112.46104120370363</v>
      </c>
      <c r="BD83" s="285">
        <f t="shared" si="40"/>
        <v>112.46104120370363</v>
      </c>
      <c r="BE83" s="285">
        <f t="shared" si="40"/>
        <v>112.46104120370363</v>
      </c>
      <c r="BF83" s="285">
        <f t="shared" si="40"/>
        <v>112.46104120370363</v>
      </c>
      <c r="BG83" s="285">
        <f t="shared" si="40"/>
        <v>112.46104120370363</v>
      </c>
      <c r="BH83" s="285">
        <f t="shared" si="40"/>
        <v>112.46104120370363</v>
      </c>
      <c r="BI83" s="285">
        <f t="shared" si="40"/>
        <v>112.46104120370363</v>
      </c>
      <c r="BJ83" s="285">
        <f t="shared" si="40"/>
        <v>112.46104120370363</v>
      </c>
      <c r="BK83" s="285">
        <f t="shared" si="40"/>
        <v>112.46104120370363</v>
      </c>
      <c r="BL83" s="285">
        <f t="shared" si="40"/>
        <v>112.46104120370363</v>
      </c>
      <c r="BM83" s="285">
        <f t="shared" si="40"/>
        <v>112.46104120370363</v>
      </c>
      <c r="BN83" s="285">
        <f t="shared" si="40"/>
        <v>112.46104120370363</v>
      </c>
      <c r="BO83" s="285">
        <f t="shared" si="40"/>
        <v>112.46104120370363</v>
      </c>
      <c r="BP83" s="285">
        <f t="shared" si="40"/>
        <v>112.46104120370363</v>
      </c>
      <c r="BQ83" s="285">
        <f t="shared" si="40"/>
        <v>112.46104120370363</v>
      </c>
      <c r="BR83" s="285">
        <f t="shared" si="40"/>
        <v>112.46104120370363</v>
      </c>
      <c r="BS83" s="285">
        <f t="shared" si="40"/>
        <v>112.46104120370363</v>
      </c>
      <c r="BT83" s="285">
        <f t="shared" si="40"/>
        <v>112.46104120370363</v>
      </c>
      <c r="BU83" s="285">
        <f t="shared" si="40"/>
        <v>112.46104120370363</v>
      </c>
      <c r="BV83" s="285">
        <f t="shared" si="40"/>
        <v>112.46104120370363</v>
      </c>
      <c r="BW83" s="285">
        <f t="shared" si="40"/>
        <v>112.46104120370363</v>
      </c>
      <c r="BX83" s="285">
        <f t="shared" si="40"/>
        <v>112.46104120370363</v>
      </c>
      <c r="BY83" s="285">
        <f t="shared" si="40"/>
        <v>112.46104120370363</v>
      </c>
      <c r="BZ83" s="285">
        <f t="shared" si="40"/>
        <v>112.46104120370363</v>
      </c>
      <c r="CA83" s="285">
        <f t="shared" si="40"/>
        <v>112.46104120370363</v>
      </c>
      <c r="CB83" s="285">
        <f t="shared" si="40"/>
        <v>112.46104120370363</v>
      </c>
      <c r="CC83" s="285">
        <f t="shared" si="40"/>
        <v>112.46104120370363</v>
      </c>
      <c r="CD83" s="285">
        <f t="shared" si="40"/>
        <v>112.46104120370363</v>
      </c>
      <c r="CE83" s="285">
        <f t="shared" si="40"/>
        <v>112.46104120370363</v>
      </c>
      <c r="CF83" s="285">
        <f t="shared" si="40"/>
        <v>112.46104120370363</v>
      </c>
      <c r="CG83" s="285">
        <f t="shared" si="40"/>
        <v>112.46104120370363</v>
      </c>
      <c r="CH83" s="285">
        <f t="shared" si="40"/>
        <v>112.46104120370363</v>
      </c>
      <c r="CI83" s="285">
        <f t="shared" si="40"/>
        <v>112.46104120370363</v>
      </c>
      <c r="CJ83" s="285">
        <f t="shared" si="40"/>
        <v>112.46104120370363</v>
      </c>
      <c r="CK83" s="285">
        <f t="shared" si="40"/>
        <v>112.46104120370363</v>
      </c>
      <c r="CL83" s="285">
        <f t="shared" si="40"/>
        <v>112.46104120370363</v>
      </c>
      <c r="CM83" s="285">
        <f t="shared" si="40"/>
        <v>112.46104120370363</v>
      </c>
      <c r="CN83" s="285">
        <f t="shared" si="40"/>
        <v>112.46104120370363</v>
      </c>
      <c r="CO83" s="285">
        <f t="shared" si="40"/>
        <v>112.46104120370363</v>
      </c>
      <c r="CP83" s="285">
        <f t="shared" si="40"/>
        <v>112.46104120370363</v>
      </c>
      <c r="CQ83" s="285">
        <f t="shared" si="40"/>
        <v>112.46104120370363</v>
      </c>
      <c r="CR83" s="285">
        <f t="shared" si="40"/>
        <v>112.46104120370363</v>
      </c>
      <c r="CS83" s="285">
        <f t="shared" si="40"/>
        <v>112.46104120370363</v>
      </c>
      <c r="CT83" s="285">
        <f t="shared" si="40"/>
        <v>112.46104120370363</v>
      </c>
      <c r="CU83" s="285">
        <f t="shared" si="40"/>
        <v>112.46104120370363</v>
      </c>
      <c r="CV83" s="285">
        <f t="shared" si="40"/>
        <v>112.46104120370363</v>
      </c>
      <c r="CW83" s="285">
        <f t="shared" si="40"/>
        <v>112.46104120370363</v>
      </c>
      <c r="CX83" s="285">
        <f t="shared" si="40"/>
        <v>112.46104120370363</v>
      </c>
      <c r="CY83" s="285">
        <f t="shared" si="40"/>
        <v>112.46104120370363</v>
      </c>
      <c r="CZ83" s="285">
        <f t="shared" si="40"/>
        <v>112.46104120370363</v>
      </c>
      <c r="DA83" s="285">
        <f t="shared" si="40"/>
        <v>112.46104120370363</v>
      </c>
      <c r="DB83" s="285">
        <f t="shared" ref="DB83:DU83" si="41">$C$83/$E$83/12</f>
        <v>112.46104120370363</v>
      </c>
      <c r="DC83" s="285">
        <f t="shared" si="41"/>
        <v>112.46104120370363</v>
      </c>
      <c r="DD83" s="285">
        <f t="shared" si="41"/>
        <v>112.46104120370363</v>
      </c>
      <c r="DE83" s="285">
        <f t="shared" si="41"/>
        <v>112.46104120370363</v>
      </c>
      <c r="DF83" s="285">
        <f t="shared" si="41"/>
        <v>112.46104120370363</v>
      </c>
      <c r="DG83" s="285">
        <f t="shared" si="41"/>
        <v>112.46104120370363</v>
      </c>
      <c r="DH83" s="285">
        <f t="shared" si="41"/>
        <v>112.46104120370363</v>
      </c>
      <c r="DI83" s="285">
        <f t="shared" si="41"/>
        <v>112.46104120370363</v>
      </c>
      <c r="DJ83" s="285">
        <f t="shared" si="41"/>
        <v>112.46104120370363</v>
      </c>
      <c r="DK83" s="285">
        <f t="shared" si="41"/>
        <v>112.46104120370363</v>
      </c>
      <c r="DL83" s="285">
        <f t="shared" si="41"/>
        <v>112.46104120370363</v>
      </c>
      <c r="DM83" s="285">
        <f t="shared" si="41"/>
        <v>112.46104120370363</v>
      </c>
      <c r="DN83" s="285">
        <f t="shared" si="41"/>
        <v>112.46104120370363</v>
      </c>
      <c r="DO83" s="285">
        <f t="shared" si="41"/>
        <v>112.46104120370363</v>
      </c>
      <c r="DP83" s="285">
        <f t="shared" si="41"/>
        <v>112.46104120370363</v>
      </c>
      <c r="DQ83" s="285">
        <f t="shared" si="41"/>
        <v>112.46104120370363</v>
      </c>
      <c r="DR83" s="285">
        <f t="shared" si="41"/>
        <v>112.46104120370363</v>
      </c>
      <c r="DS83" s="285">
        <f t="shared" si="41"/>
        <v>112.46104120370363</v>
      </c>
      <c r="DT83" s="285">
        <f t="shared" si="41"/>
        <v>112.46104120370363</v>
      </c>
      <c r="DU83" s="285">
        <f t="shared" si="41"/>
        <v>112.46104120370363</v>
      </c>
    </row>
    <row r="84" spans="1:125">
      <c r="A84" s="55"/>
      <c r="B84" s="277" t="s">
        <v>434</v>
      </c>
      <c r="C84" s="407">
        <f>E39-E39*Исх.данные!$B$21</f>
        <v>46019.058060555581</v>
      </c>
      <c r="D84" s="278"/>
      <c r="E84" s="305">
        <v>31</v>
      </c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285"/>
      <c r="AL84" s="285"/>
      <c r="AM84" s="285"/>
      <c r="AN84" s="285"/>
      <c r="AO84" s="285"/>
      <c r="AP84" s="285"/>
      <c r="AQ84" s="285"/>
      <c r="AR84" s="285"/>
      <c r="AS84" s="285"/>
      <c r="AT84" s="285"/>
      <c r="AU84" s="285"/>
      <c r="AV84" s="285"/>
      <c r="AW84" s="285"/>
      <c r="AX84" s="285"/>
      <c r="AY84" s="285"/>
      <c r="AZ84" s="285">
        <f>$C$84/$E$84/12</f>
        <v>123.70714532407413</v>
      </c>
      <c r="BA84" s="285">
        <f t="shared" ref="BA84:DL84" si="42">$C$84/$E$84/12</f>
        <v>123.70714532407413</v>
      </c>
      <c r="BB84" s="285">
        <f t="shared" si="42"/>
        <v>123.70714532407413</v>
      </c>
      <c r="BC84" s="285">
        <f t="shared" si="42"/>
        <v>123.70714532407413</v>
      </c>
      <c r="BD84" s="285">
        <f t="shared" si="42"/>
        <v>123.70714532407413</v>
      </c>
      <c r="BE84" s="285">
        <f t="shared" si="42"/>
        <v>123.70714532407413</v>
      </c>
      <c r="BF84" s="285">
        <f t="shared" si="42"/>
        <v>123.70714532407413</v>
      </c>
      <c r="BG84" s="285">
        <f t="shared" si="42"/>
        <v>123.70714532407413</v>
      </c>
      <c r="BH84" s="285">
        <f t="shared" si="42"/>
        <v>123.70714532407413</v>
      </c>
      <c r="BI84" s="285">
        <f t="shared" si="42"/>
        <v>123.70714532407413</v>
      </c>
      <c r="BJ84" s="285">
        <f t="shared" si="42"/>
        <v>123.70714532407413</v>
      </c>
      <c r="BK84" s="285">
        <f t="shared" si="42"/>
        <v>123.70714532407413</v>
      </c>
      <c r="BL84" s="285">
        <f t="shared" si="42"/>
        <v>123.70714532407413</v>
      </c>
      <c r="BM84" s="285">
        <f t="shared" si="42"/>
        <v>123.70714532407413</v>
      </c>
      <c r="BN84" s="285">
        <f t="shared" si="42"/>
        <v>123.70714532407413</v>
      </c>
      <c r="BO84" s="285">
        <f t="shared" si="42"/>
        <v>123.70714532407413</v>
      </c>
      <c r="BP84" s="285">
        <f t="shared" si="42"/>
        <v>123.70714532407413</v>
      </c>
      <c r="BQ84" s="285">
        <f t="shared" si="42"/>
        <v>123.70714532407413</v>
      </c>
      <c r="BR84" s="285">
        <f t="shared" si="42"/>
        <v>123.70714532407413</v>
      </c>
      <c r="BS84" s="285">
        <f t="shared" si="42"/>
        <v>123.70714532407413</v>
      </c>
      <c r="BT84" s="285">
        <f t="shared" si="42"/>
        <v>123.70714532407413</v>
      </c>
      <c r="BU84" s="285">
        <f t="shared" si="42"/>
        <v>123.70714532407413</v>
      </c>
      <c r="BV84" s="285">
        <f t="shared" si="42"/>
        <v>123.70714532407413</v>
      </c>
      <c r="BW84" s="285">
        <f t="shared" si="42"/>
        <v>123.70714532407413</v>
      </c>
      <c r="BX84" s="285">
        <f t="shared" si="42"/>
        <v>123.70714532407413</v>
      </c>
      <c r="BY84" s="285">
        <f t="shared" si="42"/>
        <v>123.70714532407413</v>
      </c>
      <c r="BZ84" s="285">
        <f t="shared" si="42"/>
        <v>123.70714532407413</v>
      </c>
      <c r="CA84" s="285">
        <f t="shared" si="42"/>
        <v>123.70714532407413</v>
      </c>
      <c r="CB84" s="285">
        <f t="shared" si="42"/>
        <v>123.70714532407413</v>
      </c>
      <c r="CC84" s="285">
        <f t="shared" si="42"/>
        <v>123.70714532407413</v>
      </c>
      <c r="CD84" s="285">
        <f t="shared" si="42"/>
        <v>123.70714532407413</v>
      </c>
      <c r="CE84" s="285">
        <f t="shared" si="42"/>
        <v>123.70714532407413</v>
      </c>
      <c r="CF84" s="285">
        <f t="shared" si="42"/>
        <v>123.70714532407413</v>
      </c>
      <c r="CG84" s="285">
        <f t="shared" si="42"/>
        <v>123.70714532407413</v>
      </c>
      <c r="CH84" s="285">
        <f t="shared" si="42"/>
        <v>123.70714532407413</v>
      </c>
      <c r="CI84" s="285">
        <f t="shared" si="42"/>
        <v>123.70714532407413</v>
      </c>
      <c r="CJ84" s="285">
        <f t="shared" si="42"/>
        <v>123.70714532407413</v>
      </c>
      <c r="CK84" s="285">
        <f t="shared" si="42"/>
        <v>123.70714532407413</v>
      </c>
      <c r="CL84" s="285">
        <f t="shared" si="42"/>
        <v>123.70714532407413</v>
      </c>
      <c r="CM84" s="285">
        <f t="shared" si="42"/>
        <v>123.70714532407413</v>
      </c>
      <c r="CN84" s="285">
        <f t="shared" si="42"/>
        <v>123.70714532407413</v>
      </c>
      <c r="CO84" s="285">
        <f t="shared" si="42"/>
        <v>123.70714532407413</v>
      </c>
      <c r="CP84" s="285">
        <f t="shared" si="42"/>
        <v>123.70714532407413</v>
      </c>
      <c r="CQ84" s="285">
        <f t="shared" si="42"/>
        <v>123.70714532407413</v>
      </c>
      <c r="CR84" s="285">
        <f t="shared" si="42"/>
        <v>123.70714532407413</v>
      </c>
      <c r="CS84" s="285">
        <f t="shared" si="42"/>
        <v>123.70714532407413</v>
      </c>
      <c r="CT84" s="285">
        <f t="shared" si="42"/>
        <v>123.70714532407413</v>
      </c>
      <c r="CU84" s="285">
        <f t="shared" si="42"/>
        <v>123.70714532407413</v>
      </c>
      <c r="CV84" s="285">
        <f t="shared" si="42"/>
        <v>123.70714532407413</v>
      </c>
      <c r="CW84" s="285">
        <f t="shared" si="42"/>
        <v>123.70714532407413</v>
      </c>
      <c r="CX84" s="285">
        <f t="shared" si="42"/>
        <v>123.70714532407413</v>
      </c>
      <c r="CY84" s="285">
        <f t="shared" si="42"/>
        <v>123.70714532407413</v>
      </c>
      <c r="CZ84" s="285">
        <f t="shared" si="42"/>
        <v>123.70714532407413</v>
      </c>
      <c r="DA84" s="285">
        <f t="shared" si="42"/>
        <v>123.70714532407413</v>
      </c>
      <c r="DB84" s="285">
        <f t="shared" si="42"/>
        <v>123.70714532407413</v>
      </c>
      <c r="DC84" s="285">
        <f t="shared" si="42"/>
        <v>123.70714532407413</v>
      </c>
      <c r="DD84" s="285">
        <f t="shared" si="42"/>
        <v>123.70714532407413</v>
      </c>
      <c r="DE84" s="285">
        <f t="shared" si="42"/>
        <v>123.70714532407413</v>
      </c>
      <c r="DF84" s="285">
        <f t="shared" si="42"/>
        <v>123.70714532407413</v>
      </c>
      <c r="DG84" s="285">
        <f t="shared" si="42"/>
        <v>123.70714532407413</v>
      </c>
      <c r="DH84" s="285">
        <f t="shared" si="42"/>
        <v>123.70714532407413</v>
      </c>
      <c r="DI84" s="285">
        <f t="shared" si="42"/>
        <v>123.70714532407413</v>
      </c>
      <c r="DJ84" s="285">
        <f t="shared" si="42"/>
        <v>123.70714532407413</v>
      </c>
      <c r="DK84" s="285">
        <f t="shared" si="42"/>
        <v>123.70714532407413</v>
      </c>
      <c r="DL84" s="285">
        <f t="shared" si="42"/>
        <v>123.70714532407413</v>
      </c>
      <c r="DM84" s="285">
        <f t="shared" ref="DM84:DU84" si="43">$C$84/$E$84/12</f>
        <v>123.70714532407413</v>
      </c>
      <c r="DN84" s="285">
        <f t="shared" si="43"/>
        <v>123.70714532407413</v>
      </c>
      <c r="DO84" s="285">
        <f t="shared" si="43"/>
        <v>123.70714532407413</v>
      </c>
      <c r="DP84" s="285">
        <f t="shared" si="43"/>
        <v>123.70714532407413</v>
      </c>
      <c r="DQ84" s="285">
        <f t="shared" si="43"/>
        <v>123.70714532407413</v>
      </c>
      <c r="DR84" s="285">
        <f t="shared" si="43"/>
        <v>123.70714532407413</v>
      </c>
      <c r="DS84" s="285">
        <f t="shared" si="43"/>
        <v>123.70714532407413</v>
      </c>
      <c r="DT84" s="285">
        <f t="shared" si="43"/>
        <v>123.70714532407413</v>
      </c>
      <c r="DU84" s="285">
        <f t="shared" si="43"/>
        <v>123.70714532407413</v>
      </c>
    </row>
    <row r="85" spans="1:125">
      <c r="B85" s="300" t="s">
        <v>112</v>
      </c>
      <c r="C85" s="301"/>
      <c r="D85" s="302"/>
      <c r="E85" s="302"/>
      <c r="F85" s="301">
        <f>SUM(F81:F84)</f>
        <v>0</v>
      </c>
      <c r="G85" s="301">
        <f t="shared" ref="G85:BR85" si="44">SUM(G81:G84)</f>
        <v>0</v>
      </c>
      <c r="H85" s="301">
        <f t="shared" si="44"/>
        <v>0</v>
      </c>
      <c r="I85" s="301">
        <f t="shared" si="44"/>
        <v>0</v>
      </c>
      <c r="J85" s="301">
        <f t="shared" si="44"/>
        <v>0</v>
      </c>
      <c r="K85" s="301">
        <f t="shared" si="44"/>
        <v>0</v>
      </c>
      <c r="L85" s="301">
        <f t="shared" si="44"/>
        <v>0</v>
      </c>
      <c r="M85" s="301">
        <f t="shared" si="44"/>
        <v>0</v>
      </c>
      <c r="N85" s="301">
        <f t="shared" si="44"/>
        <v>0</v>
      </c>
      <c r="O85" s="301">
        <f t="shared" si="44"/>
        <v>0</v>
      </c>
      <c r="P85" s="301">
        <f t="shared" si="44"/>
        <v>0</v>
      </c>
      <c r="Q85" s="301">
        <f t="shared" si="44"/>
        <v>132.54065860215056</v>
      </c>
      <c r="R85" s="301">
        <f t="shared" si="44"/>
        <v>132.54065860215056</v>
      </c>
      <c r="S85" s="301">
        <f t="shared" si="44"/>
        <v>132.54065860215056</v>
      </c>
      <c r="T85" s="301">
        <f t="shared" si="44"/>
        <v>132.54065860215056</v>
      </c>
      <c r="U85" s="301">
        <f t="shared" si="44"/>
        <v>132.54065860215056</v>
      </c>
      <c r="V85" s="301">
        <f t="shared" si="44"/>
        <v>132.54065860215056</v>
      </c>
      <c r="W85" s="301">
        <f t="shared" si="44"/>
        <v>132.54065860215056</v>
      </c>
      <c r="X85" s="301">
        <f t="shared" si="44"/>
        <v>132.54065860215056</v>
      </c>
      <c r="Y85" s="301">
        <f t="shared" si="44"/>
        <v>132.54065860215056</v>
      </c>
      <c r="Z85" s="301">
        <f t="shared" si="44"/>
        <v>132.54065860215056</v>
      </c>
      <c r="AA85" s="301">
        <f t="shared" si="44"/>
        <v>132.54065860215056</v>
      </c>
      <c r="AB85" s="301">
        <f t="shared" si="44"/>
        <v>132.54065860215056</v>
      </c>
      <c r="AC85" s="301">
        <f t="shared" si="44"/>
        <v>234.77796878733579</v>
      </c>
      <c r="AD85" s="301">
        <f t="shared" si="44"/>
        <v>234.77796878733579</v>
      </c>
      <c r="AE85" s="301">
        <f t="shared" si="44"/>
        <v>234.77796878733579</v>
      </c>
      <c r="AF85" s="301">
        <f t="shared" si="44"/>
        <v>234.77796878733579</v>
      </c>
      <c r="AG85" s="301">
        <f t="shared" si="44"/>
        <v>234.77796878733579</v>
      </c>
      <c r="AH85" s="301">
        <f t="shared" si="44"/>
        <v>234.77796878733579</v>
      </c>
      <c r="AI85" s="301">
        <f t="shared" si="44"/>
        <v>234.77796878733579</v>
      </c>
      <c r="AJ85" s="301">
        <f t="shared" si="44"/>
        <v>234.77796878733579</v>
      </c>
      <c r="AK85" s="301">
        <f t="shared" si="44"/>
        <v>234.77796878733579</v>
      </c>
      <c r="AL85" s="301">
        <f t="shared" si="44"/>
        <v>234.77796878733579</v>
      </c>
      <c r="AM85" s="301">
        <f t="shared" si="44"/>
        <v>234.77796878733579</v>
      </c>
      <c r="AN85" s="301">
        <f t="shared" si="44"/>
        <v>234.77796878733579</v>
      </c>
      <c r="AO85" s="301">
        <f t="shared" si="44"/>
        <v>347.23900999103944</v>
      </c>
      <c r="AP85" s="301">
        <f t="shared" si="44"/>
        <v>347.23900999103944</v>
      </c>
      <c r="AQ85" s="301">
        <f t="shared" si="44"/>
        <v>347.23900999103944</v>
      </c>
      <c r="AR85" s="301">
        <f t="shared" si="44"/>
        <v>347.23900999103944</v>
      </c>
      <c r="AS85" s="301">
        <f t="shared" si="44"/>
        <v>347.23900999103944</v>
      </c>
      <c r="AT85" s="301">
        <f t="shared" si="44"/>
        <v>347.23900999103944</v>
      </c>
      <c r="AU85" s="301">
        <f t="shared" si="44"/>
        <v>347.23900999103944</v>
      </c>
      <c r="AV85" s="301">
        <f t="shared" si="44"/>
        <v>347.23900999103944</v>
      </c>
      <c r="AW85" s="301">
        <f t="shared" si="44"/>
        <v>347.23900999103944</v>
      </c>
      <c r="AX85" s="301">
        <f t="shared" si="44"/>
        <v>347.23900999103944</v>
      </c>
      <c r="AY85" s="301">
        <f t="shared" si="44"/>
        <v>347.23900999103944</v>
      </c>
      <c r="AZ85" s="301">
        <f t="shared" si="44"/>
        <v>470.94615531511357</v>
      </c>
      <c r="BA85" s="301">
        <f t="shared" si="44"/>
        <v>470.94615531511357</v>
      </c>
      <c r="BB85" s="301">
        <f t="shared" si="44"/>
        <v>470.94615531511357</v>
      </c>
      <c r="BC85" s="301">
        <f t="shared" si="44"/>
        <v>470.94615531511357</v>
      </c>
      <c r="BD85" s="301">
        <f t="shared" si="44"/>
        <v>470.94615531511357</v>
      </c>
      <c r="BE85" s="301">
        <f t="shared" si="44"/>
        <v>470.94615531511357</v>
      </c>
      <c r="BF85" s="301">
        <f t="shared" si="44"/>
        <v>470.94615531511357</v>
      </c>
      <c r="BG85" s="301">
        <f t="shared" si="44"/>
        <v>470.94615531511357</v>
      </c>
      <c r="BH85" s="301">
        <f t="shared" si="44"/>
        <v>470.94615531511357</v>
      </c>
      <c r="BI85" s="301">
        <f t="shared" si="44"/>
        <v>470.94615531511357</v>
      </c>
      <c r="BJ85" s="301">
        <f t="shared" si="44"/>
        <v>470.94615531511357</v>
      </c>
      <c r="BK85" s="301">
        <f t="shared" si="44"/>
        <v>470.94615531511357</v>
      </c>
      <c r="BL85" s="301">
        <f t="shared" si="44"/>
        <v>470.94615531511357</v>
      </c>
      <c r="BM85" s="301">
        <f t="shared" si="44"/>
        <v>470.94615531511357</v>
      </c>
      <c r="BN85" s="301">
        <f t="shared" si="44"/>
        <v>470.94615531511357</v>
      </c>
      <c r="BO85" s="301">
        <f t="shared" si="44"/>
        <v>470.94615531511357</v>
      </c>
      <c r="BP85" s="301">
        <f t="shared" si="44"/>
        <v>470.94615531511357</v>
      </c>
      <c r="BQ85" s="301">
        <f t="shared" si="44"/>
        <v>470.94615531511357</v>
      </c>
      <c r="BR85" s="301">
        <f t="shared" si="44"/>
        <v>470.94615531511357</v>
      </c>
      <c r="BS85" s="301">
        <f t="shared" ref="BS85:DH85" si="45">SUM(BS81:BS84)</f>
        <v>470.94615531511357</v>
      </c>
      <c r="BT85" s="301">
        <f t="shared" si="45"/>
        <v>470.94615531511357</v>
      </c>
      <c r="BU85" s="301">
        <f t="shared" si="45"/>
        <v>470.94615531511357</v>
      </c>
      <c r="BV85" s="301">
        <f t="shared" si="45"/>
        <v>470.94615531511357</v>
      </c>
      <c r="BW85" s="301">
        <f t="shared" si="45"/>
        <v>470.94615531511357</v>
      </c>
      <c r="BX85" s="301">
        <f t="shared" si="45"/>
        <v>470.94615531511357</v>
      </c>
      <c r="BY85" s="301">
        <f t="shared" si="45"/>
        <v>470.94615531511357</v>
      </c>
      <c r="BZ85" s="301">
        <f t="shared" si="45"/>
        <v>470.94615531511357</v>
      </c>
      <c r="CA85" s="301">
        <f t="shared" si="45"/>
        <v>470.94615531511357</v>
      </c>
      <c r="CB85" s="301">
        <f t="shared" si="45"/>
        <v>470.94615531511357</v>
      </c>
      <c r="CC85" s="301">
        <f t="shared" si="45"/>
        <v>470.94615531511357</v>
      </c>
      <c r="CD85" s="301">
        <f t="shared" si="45"/>
        <v>470.94615531511357</v>
      </c>
      <c r="CE85" s="301">
        <f t="shared" si="45"/>
        <v>470.94615531511357</v>
      </c>
      <c r="CF85" s="301">
        <f t="shared" si="45"/>
        <v>470.94615531511357</v>
      </c>
      <c r="CG85" s="301">
        <f t="shared" si="45"/>
        <v>470.94615531511357</v>
      </c>
      <c r="CH85" s="301">
        <f t="shared" si="45"/>
        <v>470.94615531511357</v>
      </c>
      <c r="CI85" s="301">
        <f t="shared" si="45"/>
        <v>470.94615531511357</v>
      </c>
      <c r="CJ85" s="301">
        <f t="shared" si="45"/>
        <v>470.94615531511357</v>
      </c>
      <c r="CK85" s="301">
        <f t="shared" si="45"/>
        <v>470.94615531511357</v>
      </c>
      <c r="CL85" s="301">
        <f t="shared" si="45"/>
        <v>470.94615531511357</v>
      </c>
      <c r="CM85" s="301">
        <f t="shared" si="45"/>
        <v>470.94615531511357</v>
      </c>
      <c r="CN85" s="301">
        <f t="shared" si="45"/>
        <v>470.94615531511357</v>
      </c>
      <c r="CO85" s="301">
        <f t="shared" si="45"/>
        <v>470.94615531511357</v>
      </c>
      <c r="CP85" s="301">
        <f t="shared" si="45"/>
        <v>470.94615531511357</v>
      </c>
      <c r="CQ85" s="301">
        <f t="shared" si="45"/>
        <v>470.94615531511357</v>
      </c>
      <c r="CR85" s="301">
        <f t="shared" si="45"/>
        <v>470.94615531511357</v>
      </c>
      <c r="CS85" s="301">
        <f t="shared" si="45"/>
        <v>470.94615531511357</v>
      </c>
      <c r="CT85" s="301">
        <f t="shared" si="45"/>
        <v>470.94615531511357</v>
      </c>
      <c r="CU85" s="301">
        <f t="shared" si="45"/>
        <v>470.94615531511357</v>
      </c>
      <c r="CV85" s="301">
        <f t="shared" si="45"/>
        <v>470.94615531511357</v>
      </c>
      <c r="CW85" s="301">
        <f t="shared" si="45"/>
        <v>470.94615531511357</v>
      </c>
      <c r="CX85" s="301">
        <f t="shared" si="45"/>
        <v>470.94615531511357</v>
      </c>
      <c r="CY85" s="301">
        <f t="shared" si="45"/>
        <v>470.94615531511357</v>
      </c>
      <c r="CZ85" s="301">
        <f t="shared" si="45"/>
        <v>470.94615531511357</v>
      </c>
      <c r="DA85" s="301">
        <f t="shared" si="45"/>
        <v>470.94615531511357</v>
      </c>
      <c r="DB85" s="301">
        <f t="shared" si="45"/>
        <v>470.94615531511357</v>
      </c>
      <c r="DC85" s="301">
        <f t="shared" si="45"/>
        <v>470.94615531511357</v>
      </c>
      <c r="DD85" s="301">
        <f t="shared" si="45"/>
        <v>470.94615531511357</v>
      </c>
      <c r="DE85" s="301">
        <f t="shared" si="45"/>
        <v>470.94615531511357</v>
      </c>
      <c r="DF85" s="301">
        <f t="shared" si="45"/>
        <v>470.94615531511357</v>
      </c>
      <c r="DG85" s="301">
        <f t="shared" si="45"/>
        <v>470.94615531511357</v>
      </c>
      <c r="DH85" s="301">
        <f t="shared" si="45"/>
        <v>470.94615531511357</v>
      </c>
      <c r="DI85" s="301">
        <f>SUM(DI81:DI84)</f>
        <v>470.94615531511357</v>
      </c>
      <c r="DJ85" s="301">
        <f t="shared" ref="DJ85:DU85" si="46">SUM(DJ81:DJ84)</f>
        <v>470.94615531511357</v>
      </c>
      <c r="DK85" s="301">
        <f t="shared" si="46"/>
        <v>470.94615531511357</v>
      </c>
      <c r="DL85" s="301">
        <f t="shared" si="46"/>
        <v>470.94615531511357</v>
      </c>
      <c r="DM85" s="301">
        <f t="shared" si="46"/>
        <v>470.94615531511357</v>
      </c>
      <c r="DN85" s="301">
        <f t="shared" si="46"/>
        <v>470.94615531511357</v>
      </c>
      <c r="DO85" s="301">
        <f t="shared" si="46"/>
        <v>470.94615531511357</v>
      </c>
      <c r="DP85" s="301">
        <f t="shared" si="46"/>
        <v>470.94615531511357</v>
      </c>
      <c r="DQ85" s="301">
        <f t="shared" si="46"/>
        <v>470.94615531511357</v>
      </c>
      <c r="DR85" s="301">
        <f t="shared" si="46"/>
        <v>470.94615531511357</v>
      </c>
      <c r="DS85" s="301">
        <f t="shared" si="46"/>
        <v>470.94615531511357</v>
      </c>
      <c r="DT85" s="301">
        <f t="shared" si="46"/>
        <v>470.94615531511357</v>
      </c>
      <c r="DU85" s="301">
        <f t="shared" si="46"/>
        <v>470.94615531511357</v>
      </c>
    </row>
    <row r="86" spans="1:125">
      <c r="B86" s="277" t="s">
        <v>435</v>
      </c>
      <c r="C86" s="301"/>
      <c r="D86" s="302"/>
      <c r="E86" s="302"/>
      <c r="F86" s="408"/>
      <c r="G86" s="408"/>
      <c r="H86" s="408"/>
      <c r="I86" s="408"/>
      <c r="J86" s="408"/>
      <c r="K86" s="408"/>
      <c r="L86" s="408"/>
      <c r="M86" s="408"/>
      <c r="N86" s="408"/>
      <c r="O86" s="408"/>
      <c r="P86" s="408">
        <f>C81</f>
        <v>49305.125000000007</v>
      </c>
      <c r="Q86" s="408">
        <f>P86-Q81</f>
        <v>49172.584341397858</v>
      </c>
      <c r="R86" s="408">
        <f>Q86-R81</f>
        <v>49040.043682795709</v>
      </c>
      <c r="S86" s="408">
        <f t="shared" ref="S86:CD86" si="47">R86-S81</f>
        <v>48907.50302419356</v>
      </c>
      <c r="T86" s="408">
        <f t="shared" si="47"/>
        <v>48774.962365591411</v>
      </c>
      <c r="U86" s="408">
        <f t="shared" si="47"/>
        <v>48642.421706989262</v>
      </c>
      <c r="V86" s="408">
        <f t="shared" si="47"/>
        <v>48509.881048387113</v>
      </c>
      <c r="W86" s="408">
        <f t="shared" si="47"/>
        <v>48377.340389784964</v>
      </c>
      <c r="X86" s="408">
        <f t="shared" si="47"/>
        <v>48244.799731182815</v>
      </c>
      <c r="Y86" s="408">
        <f t="shared" si="47"/>
        <v>48112.259072580666</v>
      </c>
      <c r="Z86" s="408">
        <f t="shared" si="47"/>
        <v>47979.718413978517</v>
      </c>
      <c r="AA86" s="408">
        <f t="shared" si="47"/>
        <v>47847.177755376368</v>
      </c>
      <c r="AB86" s="408">
        <f t="shared" si="47"/>
        <v>47714.637096774219</v>
      </c>
      <c r="AC86" s="408">
        <f t="shared" si="47"/>
        <v>47582.09643817207</v>
      </c>
      <c r="AD86" s="408">
        <f t="shared" si="47"/>
        <v>47449.555779569921</v>
      </c>
      <c r="AE86" s="408">
        <f t="shared" si="47"/>
        <v>47317.015120967772</v>
      </c>
      <c r="AF86" s="408">
        <f t="shared" si="47"/>
        <v>47184.474462365622</v>
      </c>
      <c r="AG86" s="408">
        <f t="shared" si="47"/>
        <v>47051.933803763473</v>
      </c>
      <c r="AH86" s="408">
        <f t="shared" si="47"/>
        <v>46919.393145161324</v>
      </c>
      <c r="AI86" s="408">
        <f t="shared" si="47"/>
        <v>46786.852486559175</v>
      </c>
      <c r="AJ86" s="408">
        <f t="shared" si="47"/>
        <v>46654.311827957026</v>
      </c>
      <c r="AK86" s="408">
        <f t="shared" si="47"/>
        <v>46521.771169354877</v>
      </c>
      <c r="AL86" s="408">
        <f t="shared" si="47"/>
        <v>46389.230510752728</v>
      </c>
      <c r="AM86" s="408">
        <f t="shared" si="47"/>
        <v>46256.689852150579</v>
      </c>
      <c r="AN86" s="408">
        <f t="shared" si="47"/>
        <v>46124.14919354843</v>
      </c>
      <c r="AO86" s="408">
        <f t="shared" si="47"/>
        <v>45991.608534946281</v>
      </c>
      <c r="AP86" s="408">
        <f t="shared" si="47"/>
        <v>45859.067876344132</v>
      </c>
      <c r="AQ86" s="408">
        <f t="shared" si="47"/>
        <v>45726.527217741983</v>
      </c>
      <c r="AR86" s="408">
        <f t="shared" si="47"/>
        <v>45593.986559139834</v>
      </c>
      <c r="AS86" s="408">
        <f t="shared" si="47"/>
        <v>45461.445900537685</v>
      </c>
      <c r="AT86" s="408">
        <f t="shared" si="47"/>
        <v>45328.905241935536</v>
      </c>
      <c r="AU86" s="408">
        <f t="shared" si="47"/>
        <v>45196.364583333387</v>
      </c>
      <c r="AV86" s="408">
        <f t="shared" si="47"/>
        <v>45063.823924731238</v>
      </c>
      <c r="AW86" s="408">
        <f t="shared" si="47"/>
        <v>44931.283266129089</v>
      </c>
      <c r="AX86" s="408">
        <f t="shared" si="47"/>
        <v>44798.74260752694</v>
      </c>
      <c r="AY86" s="408">
        <f t="shared" si="47"/>
        <v>44666.20194892479</v>
      </c>
      <c r="AZ86" s="408">
        <f t="shared" si="47"/>
        <v>44533.661290322641</v>
      </c>
      <c r="BA86" s="408">
        <f t="shared" si="47"/>
        <v>44401.120631720492</v>
      </c>
      <c r="BB86" s="408">
        <f t="shared" si="47"/>
        <v>44268.579973118343</v>
      </c>
      <c r="BC86" s="408">
        <f t="shared" si="47"/>
        <v>44136.039314516194</v>
      </c>
      <c r="BD86" s="408">
        <f t="shared" si="47"/>
        <v>44003.498655914045</v>
      </c>
      <c r="BE86" s="408">
        <f t="shared" si="47"/>
        <v>43870.957997311896</v>
      </c>
      <c r="BF86" s="408">
        <f t="shared" si="47"/>
        <v>43738.417338709747</v>
      </c>
      <c r="BG86" s="408">
        <f t="shared" si="47"/>
        <v>43605.876680107598</v>
      </c>
      <c r="BH86" s="408">
        <f t="shared" si="47"/>
        <v>43473.336021505449</v>
      </c>
      <c r="BI86" s="408">
        <f t="shared" si="47"/>
        <v>43340.7953629033</v>
      </c>
      <c r="BJ86" s="408">
        <f t="shared" si="47"/>
        <v>43208.254704301151</v>
      </c>
      <c r="BK86" s="408">
        <f t="shared" si="47"/>
        <v>43075.714045699002</v>
      </c>
      <c r="BL86" s="408">
        <f t="shared" si="47"/>
        <v>42943.173387096853</v>
      </c>
      <c r="BM86" s="408">
        <f t="shared" si="47"/>
        <v>42810.632728494704</v>
      </c>
      <c r="BN86" s="408">
        <f t="shared" si="47"/>
        <v>42678.092069892555</v>
      </c>
      <c r="BO86" s="408">
        <f t="shared" si="47"/>
        <v>42545.551411290406</v>
      </c>
      <c r="BP86" s="408">
        <f t="shared" si="47"/>
        <v>42413.010752688257</v>
      </c>
      <c r="BQ86" s="408">
        <f t="shared" si="47"/>
        <v>42280.470094086108</v>
      </c>
      <c r="BR86" s="408">
        <f t="shared" si="47"/>
        <v>42147.929435483959</v>
      </c>
      <c r="BS86" s="408">
        <f t="shared" si="47"/>
        <v>42015.388776881809</v>
      </c>
      <c r="BT86" s="408">
        <f t="shared" si="47"/>
        <v>41882.84811827966</v>
      </c>
      <c r="BU86" s="408">
        <f t="shared" si="47"/>
        <v>41750.307459677511</v>
      </c>
      <c r="BV86" s="408">
        <f t="shared" si="47"/>
        <v>41617.766801075362</v>
      </c>
      <c r="BW86" s="408">
        <f t="shared" si="47"/>
        <v>41485.226142473213</v>
      </c>
      <c r="BX86" s="408">
        <f t="shared" si="47"/>
        <v>41352.685483871064</v>
      </c>
      <c r="BY86" s="408">
        <f t="shared" si="47"/>
        <v>41220.144825268915</v>
      </c>
      <c r="BZ86" s="408">
        <f t="shared" si="47"/>
        <v>41087.604166666766</v>
      </c>
      <c r="CA86" s="408">
        <f t="shared" si="47"/>
        <v>40955.063508064617</v>
      </c>
      <c r="CB86" s="408">
        <f t="shared" si="47"/>
        <v>40822.522849462468</v>
      </c>
      <c r="CC86" s="408">
        <f t="shared" si="47"/>
        <v>40689.982190860319</v>
      </c>
      <c r="CD86" s="408">
        <f t="shared" si="47"/>
        <v>40557.44153225817</v>
      </c>
      <c r="CE86" s="408">
        <f t="shared" ref="CE86:DU86" si="48">CD86-CE81</f>
        <v>40424.900873656021</v>
      </c>
      <c r="CF86" s="408">
        <f t="shared" si="48"/>
        <v>40292.360215053872</v>
      </c>
      <c r="CG86" s="408">
        <f t="shared" si="48"/>
        <v>40159.819556451723</v>
      </c>
      <c r="CH86" s="408">
        <f t="shared" si="48"/>
        <v>40027.278897849574</v>
      </c>
      <c r="CI86" s="408">
        <f t="shared" si="48"/>
        <v>39894.738239247425</v>
      </c>
      <c r="CJ86" s="408">
        <f t="shared" si="48"/>
        <v>39762.197580645276</v>
      </c>
      <c r="CK86" s="408">
        <f t="shared" si="48"/>
        <v>39629.656922043127</v>
      </c>
      <c r="CL86" s="408">
        <f t="shared" si="48"/>
        <v>39497.116263440977</v>
      </c>
      <c r="CM86" s="408">
        <f t="shared" si="48"/>
        <v>39364.575604838828</v>
      </c>
      <c r="CN86" s="408">
        <f t="shared" si="48"/>
        <v>39232.034946236679</v>
      </c>
      <c r="CO86" s="408">
        <f t="shared" si="48"/>
        <v>39099.49428763453</v>
      </c>
      <c r="CP86" s="408">
        <f t="shared" si="48"/>
        <v>38966.953629032381</v>
      </c>
      <c r="CQ86" s="408">
        <f t="shared" si="48"/>
        <v>38834.412970430232</v>
      </c>
      <c r="CR86" s="408">
        <f t="shared" si="48"/>
        <v>38701.872311828083</v>
      </c>
      <c r="CS86" s="408">
        <f t="shared" si="48"/>
        <v>38569.331653225934</v>
      </c>
      <c r="CT86" s="408">
        <f t="shared" si="48"/>
        <v>38436.790994623785</v>
      </c>
      <c r="CU86" s="408">
        <f t="shared" si="48"/>
        <v>38304.250336021636</v>
      </c>
      <c r="CV86" s="408">
        <f t="shared" si="48"/>
        <v>38171.709677419487</v>
      </c>
      <c r="CW86" s="408">
        <f t="shared" si="48"/>
        <v>38039.169018817338</v>
      </c>
      <c r="CX86" s="408">
        <f t="shared" si="48"/>
        <v>37906.628360215189</v>
      </c>
      <c r="CY86" s="408">
        <f t="shared" si="48"/>
        <v>37774.08770161304</v>
      </c>
      <c r="CZ86" s="408">
        <f t="shared" si="48"/>
        <v>37641.547043010891</v>
      </c>
      <c r="DA86" s="408">
        <f t="shared" si="48"/>
        <v>37509.006384408742</v>
      </c>
      <c r="DB86" s="408">
        <f t="shared" si="48"/>
        <v>37376.465725806593</v>
      </c>
      <c r="DC86" s="408">
        <f t="shared" si="48"/>
        <v>37243.925067204444</v>
      </c>
      <c r="DD86" s="408">
        <f t="shared" si="48"/>
        <v>37111.384408602295</v>
      </c>
      <c r="DE86" s="408">
        <f t="shared" si="48"/>
        <v>36978.843750000146</v>
      </c>
      <c r="DF86" s="408">
        <f t="shared" si="48"/>
        <v>36846.303091397996</v>
      </c>
      <c r="DG86" s="408">
        <f t="shared" si="48"/>
        <v>36713.762432795847</v>
      </c>
      <c r="DH86" s="408">
        <f t="shared" si="48"/>
        <v>36581.221774193698</v>
      </c>
      <c r="DI86" s="408">
        <f t="shared" si="48"/>
        <v>36448.681115591549</v>
      </c>
      <c r="DJ86" s="408">
        <f t="shared" si="48"/>
        <v>36316.1404569894</v>
      </c>
      <c r="DK86" s="408">
        <f t="shared" si="48"/>
        <v>36183.599798387251</v>
      </c>
      <c r="DL86" s="408">
        <f t="shared" si="48"/>
        <v>36051.059139785102</v>
      </c>
      <c r="DM86" s="408">
        <f t="shared" si="48"/>
        <v>35918.518481182953</v>
      </c>
      <c r="DN86" s="408">
        <f t="shared" si="48"/>
        <v>35785.977822580804</v>
      </c>
      <c r="DO86" s="408">
        <f t="shared" si="48"/>
        <v>35653.437163978655</v>
      </c>
      <c r="DP86" s="408">
        <f t="shared" si="48"/>
        <v>35520.896505376506</v>
      </c>
      <c r="DQ86" s="408">
        <f t="shared" si="48"/>
        <v>35388.355846774357</v>
      </c>
      <c r="DR86" s="408">
        <f t="shared" si="48"/>
        <v>35255.815188172208</v>
      </c>
      <c r="DS86" s="408">
        <f t="shared" si="48"/>
        <v>35123.274529570059</v>
      </c>
      <c r="DT86" s="408">
        <f t="shared" si="48"/>
        <v>34990.73387096791</v>
      </c>
      <c r="DU86" s="408">
        <f t="shared" si="48"/>
        <v>34858.193212365761</v>
      </c>
    </row>
    <row r="87" spans="1:125">
      <c r="B87" s="277" t="s">
        <v>436</v>
      </c>
      <c r="C87" s="301"/>
      <c r="D87" s="302"/>
      <c r="E87" s="302"/>
      <c r="F87" s="408"/>
      <c r="G87" s="408"/>
      <c r="H87" s="408"/>
      <c r="I87" s="408"/>
      <c r="J87" s="408"/>
      <c r="K87" s="408"/>
      <c r="L87" s="408"/>
      <c r="M87" s="408"/>
      <c r="N87" s="408"/>
      <c r="O87" s="408"/>
      <c r="P87" s="408"/>
      <c r="Q87" s="408"/>
      <c r="R87" s="408"/>
      <c r="S87" s="408"/>
      <c r="T87" s="408"/>
      <c r="U87" s="408"/>
      <c r="V87" s="408"/>
      <c r="W87" s="408"/>
      <c r="X87" s="408"/>
      <c r="Y87" s="408"/>
      <c r="Z87" s="408"/>
      <c r="AA87" s="408"/>
      <c r="AB87" s="408">
        <f>C82</f>
        <v>38032.279388888914</v>
      </c>
      <c r="AC87" s="408">
        <f>AB87-AC82</f>
        <v>37930.042078703729</v>
      </c>
      <c r="AD87" s="408">
        <f t="shared" ref="AD87:CO87" si="49">AC87-AD82</f>
        <v>37827.804768518545</v>
      </c>
      <c r="AE87" s="408">
        <f t="shared" si="49"/>
        <v>37725.56745833336</v>
      </c>
      <c r="AF87" s="408">
        <f t="shared" si="49"/>
        <v>37623.330148148176</v>
      </c>
      <c r="AG87" s="408">
        <f t="shared" si="49"/>
        <v>37521.092837962991</v>
      </c>
      <c r="AH87" s="408">
        <f t="shared" si="49"/>
        <v>37418.855527777807</v>
      </c>
      <c r="AI87" s="408">
        <f t="shared" si="49"/>
        <v>37316.618217592622</v>
      </c>
      <c r="AJ87" s="408">
        <f t="shared" si="49"/>
        <v>37214.380907407438</v>
      </c>
      <c r="AK87" s="408">
        <f t="shared" si="49"/>
        <v>37112.143597222253</v>
      </c>
      <c r="AL87" s="408">
        <f t="shared" si="49"/>
        <v>37009.906287037069</v>
      </c>
      <c r="AM87" s="408">
        <f t="shared" si="49"/>
        <v>36907.668976851885</v>
      </c>
      <c r="AN87" s="408">
        <f t="shared" si="49"/>
        <v>36805.4316666667</v>
      </c>
      <c r="AO87" s="408">
        <f t="shared" si="49"/>
        <v>36703.194356481516</v>
      </c>
      <c r="AP87" s="408">
        <f t="shared" si="49"/>
        <v>36600.957046296331</v>
      </c>
      <c r="AQ87" s="408">
        <f t="shared" si="49"/>
        <v>36498.719736111147</v>
      </c>
      <c r="AR87" s="408">
        <f t="shared" si="49"/>
        <v>36396.482425925962</v>
      </c>
      <c r="AS87" s="408">
        <f t="shared" si="49"/>
        <v>36294.245115740778</v>
      </c>
      <c r="AT87" s="408">
        <f t="shared" si="49"/>
        <v>36192.007805555593</v>
      </c>
      <c r="AU87" s="408">
        <f t="shared" si="49"/>
        <v>36089.770495370409</v>
      </c>
      <c r="AV87" s="408">
        <f t="shared" si="49"/>
        <v>35987.533185185224</v>
      </c>
      <c r="AW87" s="408">
        <f t="shared" si="49"/>
        <v>35885.29587500004</v>
      </c>
      <c r="AX87" s="408">
        <f t="shared" si="49"/>
        <v>35783.058564814855</v>
      </c>
      <c r="AY87" s="408">
        <f t="shared" si="49"/>
        <v>35680.821254629671</v>
      </c>
      <c r="AZ87" s="408">
        <f t="shared" si="49"/>
        <v>35578.583944444486</v>
      </c>
      <c r="BA87" s="408">
        <f t="shared" si="49"/>
        <v>35476.346634259302</v>
      </c>
      <c r="BB87" s="408">
        <f t="shared" si="49"/>
        <v>35374.109324074117</v>
      </c>
      <c r="BC87" s="408">
        <f t="shared" si="49"/>
        <v>35271.872013888933</v>
      </c>
      <c r="BD87" s="408">
        <f t="shared" si="49"/>
        <v>35169.634703703749</v>
      </c>
      <c r="BE87" s="408">
        <f t="shared" si="49"/>
        <v>35067.397393518564</v>
      </c>
      <c r="BF87" s="408">
        <f t="shared" si="49"/>
        <v>34965.16008333338</v>
      </c>
      <c r="BG87" s="408">
        <f t="shared" si="49"/>
        <v>34862.922773148195</v>
      </c>
      <c r="BH87" s="408">
        <f t="shared" si="49"/>
        <v>34760.685462963011</v>
      </c>
      <c r="BI87" s="408">
        <f t="shared" si="49"/>
        <v>34658.448152777826</v>
      </c>
      <c r="BJ87" s="408">
        <f t="shared" si="49"/>
        <v>34556.210842592642</v>
      </c>
      <c r="BK87" s="408">
        <f t="shared" si="49"/>
        <v>34453.973532407457</v>
      </c>
      <c r="BL87" s="408">
        <f t="shared" si="49"/>
        <v>34351.736222222273</v>
      </c>
      <c r="BM87" s="408">
        <f t="shared" si="49"/>
        <v>34249.498912037088</v>
      </c>
      <c r="BN87" s="408">
        <f t="shared" si="49"/>
        <v>34147.261601851904</v>
      </c>
      <c r="BO87" s="408">
        <f t="shared" si="49"/>
        <v>34045.024291666719</v>
      </c>
      <c r="BP87" s="408">
        <f t="shared" si="49"/>
        <v>33942.786981481535</v>
      </c>
      <c r="BQ87" s="408">
        <f t="shared" si="49"/>
        <v>33840.54967129635</v>
      </c>
      <c r="BR87" s="408">
        <f t="shared" si="49"/>
        <v>33738.312361111166</v>
      </c>
      <c r="BS87" s="408">
        <f t="shared" si="49"/>
        <v>33636.075050925981</v>
      </c>
      <c r="BT87" s="408">
        <f t="shared" si="49"/>
        <v>33533.837740740797</v>
      </c>
      <c r="BU87" s="408">
        <f t="shared" si="49"/>
        <v>33431.600430555613</v>
      </c>
      <c r="BV87" s="408">
        <f t="shared" si="49"/>
        <v>33329.363120370428</v>
      </c>
      <c r="BW87" s="408">
        <f t="shared" si="49"/>
        <v>33227.125810185244</v>
      </c>
      <c r="BX87" s="408">
        <f t="shared" si="49"/>
        <v>33124.888500000059</v>
      </c>
      <c r="BY87" s="408">
        <f t="shared" si="49"/>
        <v>33022.651189814875</v>
      </c>
      <c r="BZ87" s="408">
        <f t="shared" si="49"/>
        <v>32920.41387962969</v>
      </c>
      <c r="CA87" s="408">
        <f t="shared" si="49"/>
        <v>32818.176569444506</v>
      </c>
      <c r="CB87" s="408">
        <f t="shared" si="49"/>
        <v>32715.939259259321</v>
      </c>
      <c r="CC87" s="408">
        <f t="shared" si="49"/>
        <v>32613.701949074137</v>
      </c>
      <c r="CD87" s="408">
        <f t="shared" si="49"/>
        <v>32511.464638888952</v>
      </c>
      <c r="CE87" s="408">
        <f t="shared" si="49"/>
        <v>32409.227328703768</v>
      </c>
      <c r="CF87" s="408">
        <f t="shared" si="49"/>
        <v>32306.990018518583</v>
      </c>
      <c r="CG87" s="408">
        <f t="shared" si="49"/>
        <v>32204.752708333399</v>
      </c>
      <c r="CH87" s="408">
        <f t="shared" si="49"/>
        <v>32102.515398148214</v>
      </c>
      <c r="CI87" s="408">
        <f t="shared" si="49"/>
        <v>32000.27808796303</v>
      </c>
      <c r="CJ87" s="408">
        <f t="shared" si="49"/>
        <v>31898.040777777846</v>
      </c>
      <c r="CK87" s="408">
        <f t="shared" si="49"/>
        <v>31795.803467592661</v>
      </c>
      <c r="CL87" s="408">
        <f t="shared" si="49"/>
        <v>31693.566157407477</v>
      </c>
      <c r="CM87" s="408">
        <f t="shared" si="49"/>
        <v>31591.328847222292</v>
      </c>
      <c r="CN87" s="408">
        <f t="shared" si="49"/>
        <v>31489.091537037108</v>
      </c>
      <c r="CO87" s="408">
        <f t="shared" si="49"/>
        <v>31386.854226851923</v>
      </c>
      <c r="CP87" s="408">
        <f t="shared" ref="CP87:DU87" si="50">CO87-CP82</f>
        <v>31284.616916666739</v>
      </c>
      <c r="CQ87" s="408">
        <f t="shared" si="50"/>
        <v>31182.379606481554</v>
      </c>
      <c r="CR87" s="408">
        <f t="shared" si="50"/>
        <v>31080.14229629637</v>
      </c>
      <c r="CS87" s="408">
        <f t="shared" si="50"/>
        <v>30977.904986111185</v>
      </c>
      <c r="CT87" s="408">
        <f t="shared" si="50"/>
        <v>30875.667675926001</v>
      </c>
      <c r="CU87" s="408">
        <f t="shared" si="50"/>
        <v>30773.430365740816</v>
      </c>
      <c r="CV87" s="408">
        <f t="shared" si="50"/>
        <v>30671.193055555632</v>
      </c>
      <c r="CW87" s="408">
        <f t="shared" si="50"/>
        <v>30568.955745370447</v>
      </c>
      <c r="CX87" s="408">
        <f t="shared" si="50"/>
        <v>30466.718435185263</v>
      </c>
      <c r="CY87" s="408">
        <f t="shared" si="50"/>
        <v>30364.481125000078</v>
      </c>
      <c r="CZ87" s="408">
        <f t="shared" si="50"/>
        <v>30262.243814814894</v>
      </c>
      <c r="DA87" s="408">
        <f t="shared" si="50"/>
        <v>30160.00650462971</v>
      </c>
      <c r="DB87" s="408">
        <f t="shared" si="50"/>
        <v>30057.769194444525</v>
      </c>
      <c r="DC87" s="408">
        <f t="shared" si="50"/>
        <v>29955.531884259341</v>
      </c>
      <c r="DD87" s="408">
        <f t="shared" si="50"/>
        <v>29853.294574074156</v>
      </c>
      <c r="DE87" s="408">
        <f t="shared" si="50"/>
        <v>29751.057263888972</v>
      </c>
      <c r="DF87" s="408">
        <f t="shared" si="50"/>
        <v>29648.819953703787</v>
      </c>
      <c r="DG87" s="408">
        <f t="shared" si="50"/>
        <v>29546.582643518603</v>
      </c>
      <c r="DH87" s="408">
        <f t="shared" si="50"/>
        <v>29444.345333333418</v>
      </c>
      <c r="DI87" s="408">
        <f t="shared" si="50"/>
        <v>29342.108023148234</v>
      </c>
      <c r="DJ87" s="408">
        <f t="shared" si="50"/>
        <v>29239.870712963049</v>
      </c>
      <c r="DK87" s="408">
        <f t="shared" si="50"/>
        <v>29137.633402777865</v>
      </c>
      <c r="DL87" s="408">
        <f t="shared" si="50"/>
        <v>29035.39609259268</v>
      </c>
      <c r="DM87" s="408">
        <f t="shared" si="50"/>
        <v>28933.158782407496</v>
      </c>
      <c r="DN87" s="408">
        <f t="shared" si="50"/>
        <v>28830.921472222311</v>
      </c>
      <c r="DO87" s="408">
        <f t="shared" si="50"/>
        <v>28728.684162037127</v>
      </c>
      <c r="DP87" s="408">
        <f t="shared" si="50"/>
        <v>28626.446851851942</v>
      </c>
      <c r="DQ87" s="408">
        <f t="shared" si="50"/>
        <v>28524.209541666758</v>
      </c>
      <c r="DR87" s="408">
        <f t="shared" si="50"/>
        <v>28421.972231481574</v>
      </c>
      <c r="DS87" s="408">
        <f t="shared" si="50"/>
        <v>28319.734921296389</v>
      </c>
      <c r="DT87" s="408">
        <f t="shared" si="50"/>
        <v>28217.497611111205</v>
      </c>
      <c r="DU87" s="408">
        <f t="shared" si="50"/>
        <v>28115.26030092602</v>
      </c>
    </row>
    <row r="88" spans="1:125">
      <c r="B88" s="277" t="s">
        <v>437</v>
      </c>
      <c r="C88" s="301"/>
      <c r="D88" s="302"/>
      <c r="E88" s="302"/>
      <c r="F88" s="408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408"/>
      <c r="AF88" s="408"/>
      <c r="AG88" s="408"/>
      <c r="AH88" s="408"/>
      <c r="AI88" s="408"/>
      <c r="AJ88" s="408"/>
      <c r="AK88" s="408"/>
      <c r="AL88" s="408"/>
      <c r="AM88" s="408"/>
      <c r="AN88" s="408">
        <f>C83</f>
        <v>41835.507327777748</v>
      </c>
      <c r="AO88" s="408">
        <f>AN88-AO83</f>
        <v>41723.046286574048</v>
      </c>
      <c r="AP88" s="408">
        <f t="shared" ref="AP88:DA88" si="51">AO88-AP83</f>
        <v>41610.585245370348</v>
      </c>
      <c r="AQ88" s="408">
        <f t="shared" si="51"/>
        <v>41498.124204166648</v>
      </c>
      <c r="AR88" s="408">
        <f t="shared" si="51"/>
        <v>41385.663162962948</v>
      </c>
      <c r="AS88" s="408">
        <f t="shared" si="51"/>
        <v>41273.202121759248</v>
      </c>
      <c r="AT88" s="408">
        <f t="shared" si="51"/>
        <v>41160.741080555548</v>
      </c>
      <c r="AU88" s="408">
        <f t="shared" si="51"/>
        <v>41048.280039351848</v>
      </c>
      <c r="AV88" s="408">
        <f t="shared" si="51"/>
        <v>40935.818998148148</v>
      </c>
      <c r="AW88" s="408">
        <f t="shared" si="51"/>
        <v>40823.357956944448</v>
      </c>
      <c r="AX88" s="408">
        <f t="shared" si="51"/>
        <v>40710.896915740748</v>
      </c>
      <c r="AY88" s="408">
        <f t="shared" si="51"/>
        <v>40598.435874537048</v>
      </c>
      <c r="AZ88" s="408">
        <f t="shared" si="51"/>
        <v>40485.974833333348</v>
      </c>
      <c r="BA88" s="408">
        <f t="shared" si="51"/>
        <v>40373.513792129648</v>
      </c>
      <c r="BB88" s="408">
        <f t="shared" si="51"/>
        <v>40261.052750925948</v>
      </c>
      <c r="BC88" s="408">
        <f t="shared" si="51"/>
        <v>40148.591709722248</v>
      </c>
      <c r="BD88" s="408">
        <f t="shared" si="51"/>
        <v>40036.130668518548</v>
      </c>
      <c r="BE88" s="408">
        <f t="shared" si="51"/>
        <v>39923.669627314848</v>
      </c>
      <c r="BF88" s="408">
        <f t="shared" si="51"/>
        <v>39811.208586111148</v>
      </c>
      <c r="BG88" s="408">
        <f t="shared" si="51"/>
        <v>39698.747544907448</v>
      </c>
      <c r="BH88" s="408">
        <f t="shared" si="51"/>
        <v>39586.286503703748</v>
      </c>
      <c r="BI88" s="408">
        <f t="shared" si="51"/>
        <v>39473.825462500048</v>
      </c>
      <c r="BJ88" s="408">
        <f t="shared" si="51"/>
        <v>39361.364421296348</v>
      </c>
      <c r="BK88" s="408">
        <f t="shared" si="51"/>
        <v>39248.903380092648</v>
      </c>
      <c r="BL88" s="408">
        <f t="shared" si="51"/>
        <v>39136.442338888948</v>
      </c>
      <c r="BM88" s="408">
        <f t="shared" si="51"/>
        <v>39023.981297685248</v>
      </c>
      <c r="BN88" s="408">
        <f t="shared" si="51"/>
        <v>38911.520256481548</v>
      </c>
      <c r="BO88" s="408">
        <f t="shared" si="51"/>
        <v>38799.059215277848</v>
      </c>
      <c r="BP88" s="408">
        <f t="shared" si="51"/>
        <v>38686.598174074148</v>
      </c>
      <c r="BQ88" s="408">
        <f t="shared" si="51"/>
        <v>38574.137132870448</v>
      </c>
      <c r="BR88" s="408">
        <f t="shared" si="51"/>
        <v>38461.676091666748</v>
      </c>
      <c r="BS88" s="408">
        <f t="shared" si="51"/>
        <v>38349.215050463048</v>
      </c>
      <c r="BT88" s="408">
        <f t="shared" si="51"/>
        <v>38236.754009259348</v>
      </c>
      <c r="BU88" s="408">
        <f t="shared" si="51"/>
        <v>38124.292968055648</v>
      </c>
      <c r="BV88" s="408">
        <f t="shared" si="51"/>
        <v>38011.831926851948</v>
      </c>
      <c r="BW88" s="408">
        <f t="shared" si="51"/>
        <v>37899.370885648248</v>
      </c>
      <c r="BX88" s="408">
        <f t="shared" si="51"/>
        <v>37786.909844444548</v>
      </c>
      <c r="BY88" s="408">
        <f t="shared" si="51"/>
        <v>37674.448803240848</v>
      </c>
      <c r="BZ88" s="408">
        <f t="shared" si="51"/>
        <v>37561.987762037148</v>
      </c>
      <c r="CA88" s="408">
        <f t="shared" si="51"/>
        <v>37449.526720833448</v>
      </c>
      <c r="CB88" s="408">
        <f t="shared" si="51"/>
        <v>37337.065679629748</v>
      </c>
      <c r="CC88" s="408">
        <f t="shared" si="51"/>
        <v>37224.604638426048</v>
      </c>
      <c r="CD88" s="408">
        <f t="shared" si="51"/>
        <v>37112.143597222348</v>
      </c>
      <c r="CE88" s="408">
        <f t="shared" si="51"/>
        <v>36999.682556018648</v>
      </c>
      <c r="CF88" s="408">
        <f t="shared" si="51"/>
        <v>36887.221514814948</v>
      </c>
      <c r="CG88" s="408">
        <f t="shared" si="51"/>
        <v>36774.760473611248</v>
      </c>
      <c r="CH88" s="408">
        <f t="shared" si="51"/>
        <v>36662.299432407548</v>
      </c>
      <c r="CI88" s="408">
        <f t="shared" si="51"/>
        <v>36549.838391203848</v>
      </c>
      <c r="CJ88" s="408">
        <f t="shared" si="51"/>
        <v>36437.377350000148</v>
      </c>
      <c r="CK88" s="408">
        <f t="shared" si="51"/>
        <v>36324.916308796448</v>
      </c>
      <c r="CL88" s="408">
        <f t="shared" si="51"/>
        <v>36212.455267592748</v>
      </c>
      <c r="CM88" s="408">
        <f t="shared" si="51"/>
        <v>36099.994226389048</v>
      </c>
      <c r="CN88" s="408">
        <f t="shared" si="51"/>
        <v>35987.533185185348</v>
      </c>
      <c r="CO88" s="408">
        <f t="shared" si="51"/>
        <v>35875.072143981648</v>
      </c>
      <c r="CP88" s="408">
        <f t="shared" si="51"/>
        <v>35762.611102777948</v>
      </c>
      <c r="CQ88" s="408">
        <f t="shared" si="51"/>
        <v>35650.150061574248</v>
      </c>
      <c r="CR88" s="408">
        <f t="shared" si="51"/>
        <v>35537.689020370548</v>
      </c>
      <c r="CS88" s="408">
        <f t="shared" si="51"/>
        <v>35425.227979166848</v>
      </c>
      <c r="CT88" s="408">
        <f t="shared" si="51"/>
        <v>35312.766937963148</v>
      </c>
      <c r="CU88" s="408">
        <f t="shared" si="51"/>
        <v>35200.305896759448</v>
      </c>
      <c r="CV88" s="408">
        <f t="shared" si="51"/>
        <v>35087.844855555748</v>
      </c>
      <c r="CW88" s="408">
        <f t="shared" si="51"/>
        <v>34975.383814352048</v>
      </c>
      <c r="CX88" s="408">
        <f t="shared" si="51"/>
        <v>34862.922773148348</v>
      </c>
      <c r="CY88" s="408">
        <f t="shared" si="51"/>
        <v>34750.461731944648</v>
      </c>
      <c r="CZ88" s="408">
        <f t="shared" si="51"/>
        <v>34638.000690740948</v>
      </c>
      <c r="DA88" s="408">
        <f t="shared" si="51"/>
        <v>34525.539649537248</v>
      </c>
      <c r="DB88" s="408">
        <f t="shared" ref="DB88:DU89" si="52">DA88-DB83</f>
        <v>34413.078608333548</v>
      </c>
      <c r="DC88" s="408">
        <f t="shared" si="52"/>
        <v>34300.617567129848</v>
      </c>
      <c r="DD88" s="408">
        <f t="shared" si="52"/>
        <v>34188.156525926148</v>
      </c>
      <c r="DE88" s="408">
        <f t="shared" si="52"/>
        <v>34075.695484722448</v>
      </c>
      <c r="DF88" s="408">
        <f t="shared" si="52"/>
        <v>33963.234443518748</v>
      </c>
      <c r="DG88" s="408">
        <f t="shared" si="52"/>
        <v>33850.773402315048</v>
      </c>
      <c r="DH88" s="408">
        <f t="shared" si="52"/>
        <v>33738.312361111348</v>
      </c>
      <c r="DI88" s="408">
        <f t="shared" si="52"/>
        <v>33625.851319907648</v>
      </c>
      <c r="DJ88" s="408">
        <f t="shared" si="52"/>
        <v>33513.390278703948</v>
      </c>
      <c r="DK88" s="408">
        <f t="shared" si="52"/>
        <v>33400.929237500248</v>
      </c>
      <c r="DL88" s="408">
        <f t="shared" si="52"/>
        <v>33288.468196296548</v>
      </c>
      <c r="DM88" s="408">
        <f t="shared" si="52"/>
        <v>33176.007155092848</v>
      </c>
      <c r="DN88" s="408">
        <f t="shared" si="52"/>
        <v>33063.546113889148</v>
      </c>
      <c r="DO88" s="408">
        <f t="shared" si="52"/>
        <v>32951.085072685448</v>
      </c>
      <c r="DP88" s="408">
        <f t="shared" si="52"/>
        <v>32838.624031481748</v>
      </c>
      <c r="DQ88" s="408">
        <f t="shared" si="52"/>
        <v>32726.162990278044</v>
      </c>
      <c r="DR88" s="408">
        <f t="shared" si="52"/>
        <v>32613.701949074341</v>
      </c>
      <c r="DS88" s="408">
        <f t="shared" si="52"/>
        <v>32501.240907870637</v>
      </c>
      <c r="DT88" s="408">
        <f t="shared" si="52"/>
        <v>32388.779866666933</v>
      </c>
      <c r="DU88" s="408">
        <f t="shared" si="52"/>
        <v>32276.31882546323</v>
      </c>
    </row>
    <row r="89" spans="1:125">
      <c r="B89" s="277" t="s">
        <v>438</v>
      </c>
      <c r="C89" s="301"/>
      <c r="D89" s="302"/>
      <c r="E89" s="302"/>
      <c r="F89" s="408"/>
      <c r="G89" s="408"/>
      <c r="H89" s="408"/>
      <c r="I89" s="408"/>
      <c r="J89" s="408"/>
      <c r="K89" s="408"/>
      <c r="L89" s="408"/>
      <c r="M89" s="408"/>
      <c r="N89" s="408"/>
      <c r="O89" s="408"/>
      <c r="P89" s="408"/>
      <c r="Q89" s="408"/>
      <c r="R89" s="408"/>
      <c r="S89" s="408"/>
      <c r="T89" s="408"/>
      <c r="U89" s="408"/>
      <c r="V89" s="408"/>
      <c r="W89" s="408"/>
      <c r="X89" s="408"/>
      <c r="Y89" s="408"/>
      <c r="Z89" s="408"/>
      <c r="AA89" s="408"/>
      <c r="AB89" s="408"/>
      <c r="AC89" s="408"/>
      <c r="AD89" s="408"/>
      <c r="AE89" s="408"/>
      <c r="AF89" s="408"/>
      <c r="AG89" s="408"/>
      <c r="AH89" s="408"/>
      <c r="AI89" s="408"/>
      <c r="AJ89" s="408"/>
      <c r="AK89" s="408"/>
      <c r="AL89" s="408"/>
      <c r="AM89" s="408"/>
      <c r="AN89" s="408"/>
      <c r="AO89" s="408"/>
      <c r="AP89" s="408"/>
      <c r="AQ89" s="408"/>
      <c r="AR89" s="408"/>
      <c r="AS89" s="408"/>
      <c r="AT89" s="408"/>
      <c r="AU89" s="408"/>
      <c r="AV89" s="408"/>
      <c r="AW89" s="408"/>
      <c r="AX89" s="408"/>
      <c r="AY89" s="408">
        <f>C84</f>
        <v>46019.058060555581</v>
      </c>
      <c r="AZ89" s="408">
        <f>AY89-AZ84</f>
        <v>45895.350915231509</v>
      </c>
      <c r="BA89" s="408">
        <f t="shared" ref="BA89:DL89" si="53">AZ89-BA84</f>
        <v>45771.643769907438</v>
      </c>
      <c r="BB89" s="408">
        <f t="shared" si="53"/>
        <v>45647.936624583366</v>
      </c>
      <c r="BC89" s="408">
        <f t="shared" si="53"/>
        <v>45524.229479259295</v>
      </c>
      <c r="BD89" s="408">
        <f t="shared" si="53"/>
        <v>45400.522333935223</v>
      </c>
      <c r="BE89" s="408">
        <f t="shared" si="53"/>
        <v>45276.815188611152</v>
      </c>
      <c r="BF89" s="408">
        <f t="shared" si="53"/>
        <v>45153.10804328708</v>
      </c>
      <c r="BG89" s="408">
        <f t="shared" si="53"/>
        <v>45029.400897963009</v>
      </c>
      <c r="BH89" s="408">
        <f t="shared" si="53"/>
        <v>44905.693752638937</v>
      </c>
      <c r="BI89" s="408">
        <f t="shared" si="53"/>
        <v>44781.986607314866</v>
      </c>
      <c r="BJ89" s="408">
        <f t="shared" si="53"/>
        <v>44658.279461990795</v>
      </c>
      <c r="BK89" s="408">
        <f t="shared" si="53"/>
        <v>44534.572316666723</v>
      </c>
      <c r="BL89" s="408">
        <f t="shared" si="53"/>
        <v>44410.865171342652</v>
      </c>
      <c r="BM89" s="408">
        <f t="shared" si="53"/>
        <v>44287.15802601858</v>
      </c>
      <c r="BN89" s="408">
        <f t="shared" si="53"/>
        <v>44163.450880694509</v>
      </c>
      <c r="BO89" s="408">
        <f t="shared" si="53"/>
        <v>44039.743735370437</v>
      </c>
      <c r="BP89" s="408">
        <f t="shared" si="53"/>
        <v>43916.036590046366</v>
      </c>
      <c r="BQ89" s="408">
        <f t="shared" si="53"/>
        <v>43792.329444722294</v>
      </c>
      <c r="BR89" s="408">
        <f t="shared" si="53"/>
        <v>43668.622299398223</v>
      </c>
      <c r="BS89" s="408">
        <f t="shared" si="53"/>
        <v>43544.915154074151</v>
      </c>
      <c r="BT89" s="408">
        <f t="shared" si="53"/>
        <v>43421.20800875008</v>
      </c>
      <c r="BU89" s="408">
        <f t="shared" si="53"/>
        <v>43297.500863426008</v>
      </c>
      <c r="BV89" s="408">
        <f t="shared" si="53"/>
        <v>43173.793718101937</v>
      </c>
      <c r="BW89" s="408">
        <f t="shared" si="53"/>
        <v>43050.086572777866</v>
      </c>
      <c r="BX89" s="408">
        <f t="shared" si="53"/>
        <v>42926.379427453794</v>
      </c>
      <c r="BY89" s="408">
        <f t="shared" si="53"/>
        <v>42802.672282129723</v>
      </c>
      <c r="BZ89" s="408">
        <f t="shared" si="53"/>
        <v>42678.965136805651</v>
      </c>
      <c r="CA89" s="408">
        <f t="shared" si="53"/>
        <v>42555.25799148158</v>
      </c>
      <c r="CB89" s="408">
        <f t="shared" si="53"/>
        <v>42431.550846157508</v>
      </c>
      <c r="CC89" s="408">
        <f t="shared" si="53"/>
        <v>42307.843700833437</v>
      </c>
      <c r="CD89" s="408">
        <f t="shared" si="53"/>
        <v>42184.136555509365</v>
      </c>
      <c r="CE89" s="408">
        <f t="shared" si="53"/>
        <v>42060.429410185294</v>
      </c>
      <c r="CF89" s="408">
        <f t="shared" si="53"/>
        <v>41936.722264861222</v>
      </c>
      <c r="CG89" s="408">
        <f t="shared" si="53"/>
        <v>41813.015119537151</v>
      </c>
      <c r="CH89" s="408">
        <f t="shared" si="53"/>
        <v>41689.307974213079</v>
      </c>
      <c r="CI89" s="408">
        <f t="shared" si="53"/>
        <v>41565.600828889008</v>
      </c>
      <c r="CJ89" s="408">
        <f t="shared" si="53"/>
        <v>41441.893683564937</v>
      </c>
      <c r="CK89" s="408">
        <f t="shared" si="53"/>
        <v>41318.186538240865</v>
      </c>
      <c r="CL89" s="408">
        <f t="shared" si="53"/>
        <v>41194.479392916794</v>
      </c>
      <c r="CM89" s="408">
        <f t="shared" si="53"/>
        <v>41070.772247592722</v>
      </c>
      <c r="CN89" s="408">
        <f t="shared" si="53"/>
        <v>40947.065102268651</v>
      </c>
      <c r="CO89" s="408">
        <f t="shared" si="53"/>
        <v>40823.357956944579</v>
      </c>
      <c r="CP89" s="408">
        <f t="shared" si="53"/>
        <v>40699.650811620508</v>
      </c>
      <c r="CQ89" s="408">
        <f t="shared" si="53"/>
        <v>40575.943666296436</v>
      </c>
      <c r="CR89" s="408">
        <f t="shared" si="53"/>
        <v>40452.236520972365</v>
      </c>
      <c r="CS89" s="408">
        <f t="shared" si="53"/>
        <v>40328.529375648293</v>
      </c>
      <c r="CT89" s="408">
        <f t="shared" si="53"/>
        <v>40204.822230324222</v>
      </c>
      <c r="CU89" s="408">
        <f t="shared" si="53"/>
        <v>40081.11508500015</v>
      </c>
      <c r="CV89" s="408">
        <f t="shared" si="53"/>
        <v>39957.407939676079</v>
      </c>
      <c r="CW89" s="408">
        <f t="shared" si="53"/>
        <v>39833.700794352008</v>
      </c>
      <c r="CX89" s="408">
        <f t="shared" si="53"/>
        <v>39709.993649027936</v>
      </c>
      <c r="CY89" s="408">
        <f t="shared" si="53"/>
        <v>39586.286503703865</v>
      </c>
      <c r="CZ89" s="408">
        <f t="shared" si="53"/>
        <v>39462.579358379793</v>
      </c>
      <c r="DA89" s="408">
        <f t="shared" si="53"/>
        <v>39338.872213055722</v>
      </c>
      <c r="DB89" s="408">
        <f t="shared" si="53"/>
        <v>39215.16506773165</v>
      </c>
      <c r="DC89" s="408">
        <f t="shared" si="53"/>
        <v>39091.457922407579</v>
      </c>
      <c r="DD89" s="408">
        <f t="shared" si="53"/>
        <v>38967.750777083507</v>
      </c>
      <c r="DE89" s="408">
        <f t="shared" si="53"/>
        <v>38844.043631759436</v>
      </c>
      <c r="DF89" s="408">
        <f t="shared" si="53"/>
        <v>38720.336486435364</v>
      </c>
      <c r="DG89" s="408">
        <f t="shared" si="53"/>
        <v>38596.629341111293</v>
      </c>
      <c r="DH89" s="408">
        <f t="shared" si="53"/>
        <v>38472.922195787221</v>
      </c>
      <c r="DI89" s="408">
        <f t="shared" si="53"/>
        <v>38349.21505046315</v>
      </c>
      <c r="DJ89" s="408">
        <f t="shared" si="53"/>
        <v>38225.507905139079</v>
      </c>
      <c r="DK89" s="408">
        <f t="shared" si="53"/>
        <v>38101.800759815007</v>
      </c>
      <c r="DL89" s="408">
        <f t="shared" si="53"/>
        <v>37978.093614490936</v>
      </c>
      <c r="DM89" s="408">
        <f t="shared" si="52"/>
        <v>37854.386469166864</v>
      </c>
      <c r="DN89" s="408">
        <f t="shared" si="52"/>
        <v>37730.679323842793</v>
      </c>
      <c r="DO89" s="408">
        <f t="shared" si="52"/>
        <v>37606.972178518721</v>
      </c>
      <c r="DP89" s="408">
        <f t="shared" si="52"/>
        <v>37483.26503319465</v>
      </c>
      <c r="DQ89" s="408">
        <f t="shared" si="52"/>
        <v>37359.557887870578</v>
      </c>
      <c r="DR89" s="408">
        <f t="shared" si="52"/>
        <v>37235.850742546507</v>
      </c>
      <c r="DS89" s="408">
        <f t="shared" si="52"/>
        <v>37112.143597222435</v>
      </c>
      <c r="DT89" s="408">
        <f t="shared" si="52"/>
        <v>36988.436451898364</v>
      </c>
      <c r="DU89" s="408">
        <f t="shared" si="52"/>
        <v>36864.729306574292</v>
      </c>
    </row>
    <row r="90" spans="1:125">
      <c r="B90" s="300" t="s">
        <v>218</v>
      </c>
      <c r="C90" s="301"/>
      <c r="D90" s="302"/>
      <c r="E90" s="302"/>
      <c r="F90" s="301">
        <f>SUM(F86:F89)</f>
        <v>0</v>
      </c>
      <c r="G90" s="301">
        <f t="shared" ref="G90:BR90" si="54">SUM(G86:G89)</f>
        <v>0</v>
      </c>
      <c r="H90" s="301">
        <f t="shared" si="54"/>
        <v>0</v>
      </c>
      <c r="I90" s="301">
        <f t="shared" si="54"/>
        <v>0</v>
      </c>
      <c r="J90" s="301">
        <f t="shared" si="54"/>
        <v>0</v>
      </c>
      <c r="K90" s="301">
        <f t="shared" si="54"/>
        <v>0</v>
      </c>
      <c r="L90" s="301">
        <f t="shared" si="54"/>
        <v>0</v>
      </c>
      <c r="M90" s="301">
        <f t="shared" si="54"/>
        <v>0</v>
      </c>
      <c r="N90" s="301">
        <f t="shared" si="54"/>
        <v>0</v>
      </c>
      <c r="O90" s="301">
        <f t="shared" si="54"/>
        <v>0</v>
      </c>
      <c r="P90" s="301">
        <f t="shared" si="54"/>
        <v>49305.125000000007</v>
      </c>
      <c r="Q90" s="301">
        <f t="shared" si="54"/>
        <v>49172.584341397858</v>
      </c>
      <c r="R90" s="301">
        <f t="shared" si="54"/>
        <v>49040.043682795709</v>
      </c>
      <c r="S90" s="301">
        <f t="shared" si="54"/>
        <v>48907.50302419356</v>
      </c>
      <c r="T90" s="301">
        <f t="shared" si="54"/>
        <v>48774.962365591411</v>
      </c>
      <c r="U90" s="301">
        <f t="shared" si="54"/>
        <v>48642.421706989262</v>
      </c>
      <c r="V90" s="301">
        <f t="shared" si="54"/>
        <v>48509.881048387113</v>
      </c>
      <c r="W90" s="301">
        <f t="shared" si="54"/>
        <v>48377.340389784964</v>
      </c>
      <c r="X90" s="301">
        <f t="shared" si="54"/>
        <v>48244.799731182815</v>
      </c>
      <c r="Y90" s="301">
        <f t="shared" si="54"/>
        <v>48112.259072580666</v>
      </c>
      <c r="Z90" s="301">
        <f t="shared" si="54"/>
        <v>47979.718413978517</v>
      </c>
      <c r="AA90" s="301">
        <f t="shared" si="54"/>
        <v>47847.177755376368</v>
      </c>
      <c r="AB90" s="301">
        <f t="shared" si="54"/>
        <v>85746.916485663125</v>
      </c>
      <c r="AC90" s="301">
        <f t="shared" si="54"/>
        <v>85512.138516875799</v>
      </c>
      <c r="AD90" s="301">
        <f t="shared" si="54"/>
        <v>85277.360548088473</v>
      </c>
      <c r="AE90" s="301">
        <f t="shared" si="54"/>
        <v>85042.582579301132</v>
      </c>
      <c r="AF90" s="301">
        <f t="shared" si="54"/>
        <v>84807.804610513791</v>
      </c>
      <c r="AG90" s="301">
        <f t="shared" si="54"/>
        <v>84573.026641726465</v>
      </c>
      <c r="AH90" s="301">
        <f t="shared" si="54"/>
        <v>84338.248672939138</v>
      </c>
      <c r="AI90" s="301">
        <f t="shared" si="54"/>
        <v>84103.470704151798</v>
      </c>
      <c r="AJ90" s="301">
        <f t="shared" si="54"/>
        <v>83868.692735364457</v>
      </c>
      <c r="AK90" s="301">
        <f t="shared" si="54"/>
        <v>83633.914766577131</v>
      </c>
      <c r="AL90" s="301">
        <f t="shared" si="54"/>
        <v>83399.136797789804</v>
      </c>
      <c r="AM90" s="301">
        <f t="shared" si="54"/>
        <v>83164.358829002464</v>
      </c>
      <c r="AN90" s="301">
        <f t="shared" si="54"/>
        <v>124765.08818799286</v>
      </c>
      <c r="AO90" s="301">
        <f t="shared" si="54"/>
        <v>124417.84917800184</v>
      </c>
      <c r="AP90" s="301">
        <f t="shared" si="54"/>
        <v>124070.61016801081</v>
      </c>
      <c r="AQ90" s="301">
        <f t="shared" si="54"/>
        <v>123723.37115801979</v>
      </c>
      <c r="AR90" s="301">
        <f t="shared" si="54"/>
        <v>123376.13214802873</v>
      </c>
      <c r="AS90" s="301">
        <f t="shared" si="54"/>
        <v>123028.8931380377</v>
      </c>
      <c r="AT90" s="301">
        <f t="shared" si="54"/>
        <v>122681.65412804668</v>
      </c>
      <c r="AU90" s="301">
        <f t="shared" si="54"/>
        <v>122334.41511805565</v>
      </c>
      <c r="AV90" s="301">
        <f t="shared" si="54"/>
        <v>121987.1761080646</v>
      </c>
      <c r="AW90" s="301">
        <f t="shared" si="54"/>
        <v>121639.93709807357</v>
      </c>
      <c r="AX90" s="301">
        <f t="shared" si="54"/>
        <v>121292.69808808254</v>
      </c>
      <c r="AY90" s="301">
        <f t="shared" si="54"/>
        <v>166964.51713864709</v>
      </c>
      <c r="AZ90" s="301">
        <f t="shared" si="54"/>
        <v>166493.57098333197</v>
      </c>
      <c r="BA90" s="301">
        <f t="shared" si="54"/>
        <v>166022.62482801688</v>
      </c>
      <c r="BB90" s="301">
        <f t="shared" si="54"/>
        <v>165551.67867270176</v>
      </c>
      <c r="BC90" s="301">
        <f t="shared" si="54"/>
        <v>165080.73251738667</v>
      </c>
      <c r="BD90" s="301">
        <f t="shared" si="54"/>
        <v>164609.78636207155</v>
      </c>
      <c r="BE90" s="301">
        <f t="shared" si="54"/>
        <v>164138.84020675646</v>
      </c>
      <c r="BF90" s="301">
        <f t="shared" si="54"/>
        <v>163667.89405144134</v>
      </c>
      <c r="BG90" s="301">
        <f t="shared" si="54"/>
        <v>163196.94789612625</v>
      </c>
      <c r="BH90" s="301">
        <f t="shared" si="54"/>
        <v>162726.00174081113</v>
      </c>
      <c r="BI90" s="301">
        <f t="shared" si="54"/>
        <v>162255.05558549604</v>
      </c>
      <c r="BJ90" s="301">
        <f t="shared" si="54"/>
        <v>161784.10943018092</v>
      </c>
      <c r="BK90" s="301">
        <f t="shared" si="54"/>
        <v>161313.16327486583</v>
      </c>
      <c r="BL90" s="301">
        <f t="shared" si="54"/>
        <v>160842.21711955071</v>
      </c>
      <c r="BM90" s="301">
        <f t="shared" si="54"/>
        <v>160371.27096423562</v>
      </c>
      <c r="BN90" s="301">
        <f t="shared" si="54"/>
        <v>159900.3248089205</v>
      </c>
      <c r="BO90" s="301">
        <f t="shared" si="54"/>
        <v>159429.37865360541</v>
      </c>
      <c r="BP90" s="301">
        <f t="shared" si="54"/>
        <v>158958.43249829029</v>
      </c>
      <c r="BQ90" s="301">
        <f t="shared" si="54"/>
        <v>158487.4863429752</v>
      </c>
      <c r="BR90" s="301">
        <f t="shared" si="54"/>
        <v>158016.54018766008</v>
      </c>
      <c r="BS90" s="301">
        <f t="shared" ref="BS90:DI90" si="55">SUM(BS86:BS89)</f>
        <v>157545.59403234499</v>
      </c>
      <c r="BT90" s="301">
        <f t="shared" si="55"/>
        <v>157074.64787702987</v>
      </c>
      <c r="BU90" s="301">
        <f t="shared" si="55"/>
        <v>156603.70172171478</v>
      </c>
      <c r="BV90" s="301">
        <f t="shared" si="55"/>
        <v>156132.75556639966</v>
      </c>
      <c r="BW90" s="301">
        <f t="shared" si="55"/>
        <v>155661.80941108457</v>
      </c>
      <c r="BX90" s="301">
        <f t="shared" si="55"/>
        <v>155190.86325576945</v>
      </c>
      <c r="BY90" s="301">
        <f t="shared" si="55"/>
        <v>154719.91710045436</v>
      </c>
      <c r="BZ90" s="301">
        <f t="shared" si="55"/>
        <v>154248.97094513924</v>
      </c>
      <c r="CA90" s="301">
        <f t="shared" si="55"/>
        <v>153778.02478982415</v>
      </c>
      <c r="CB90" s="301">
        <f t="shared" si="55"/>
        <v>153307.07863450903</v>
      </c>
      <c r="CC90" s="301">
        <f t="shared" si="55"/>
        <v>152836.13247919394</v>
      </c>
      <c r="CD90" s="301">
        <f t="shared" si="55"/>
        <v>152365.18632387882</v>
      </c>
      <c r="CE90" s="301">
        <f t="shared" si="55"/>
        <v>151894.24016856373</v>
      </c>
      <c r="CF90" s="301">
        <f t="shared" si="55"/>
        <v>151423.29401324861</v>
      </c>
      <c r="CG90" s="301">
        <f t="shared" si="55"/>
        <v>150952.34785793352</v>
      </c>
      <c r="CH90" s="301">
        <f t="shared" si="55"/>
        <v>150481.4017026184</v>
      </c>
      <c r="CI90" s="301">
        <f t="shared" si="55"/>
        <v>150010.45554730331</v>
      </c>
      <c r="CJ90" s="301">
        <f t="shared" si="55"/>
        <v>149539.50939198819</v>
      </c>
      <c r="CK90" s="301">
        <f t="shared" si="55"/>
        <v>149068.5632366731</v>
      </c>
      <c r="CL90" s="301">
        <f t="shared" si="55"/>
        <v>148597.61708135798</v>
      </c>
      <c r="CM90" s="301">
        <f t="shared" si="55"/>
        <v>148126.67092604289</v>
      </c>
      <c r="CN90" s="301">
        <f t="shared" si="55"/>
        <v>147655.72477072777</v>
      </c>
      <c r="CO90" s="301">
        <f t="shared" si="55"/>
        <v>147184.77861541268</v>
      </c>
      <c r="CP90" s="301">
        <f t="shared" si="55"/>
        <v>146713.83246009756</v>
      </c>
      <c r="CQ90" s="301">
        <f t="shared" si="55"/>
        <v>146242.88630478247</v>
      </c>
      <c r="CR90" s="301">
        <f t="shared" si="55"/>
        <v>145771.94014946735</v>
      </c>
      <c r="CS90" s="301">
        <f t="shared" si="55"/>
        <v>145300.99399415226</v>
      </c>
      <c r="CT90" s="301">
        <f t="shared" si="55"/>
        <v>144830.04783883714</v>
      </c>
      <c r="CU90" s="301">
        <f t="shared" si="55"/>
        <v>144359.10168352205</v>
      </c>
      <c r="CV90" s="301">
        <f t="shared" si="55"/>
        <v>143888.15552820693</v>
      </c>
      <c r="CW90" s="301">
        <f t="shared" si="55"/>
        <v>143417.20937289184</v>
      </c>
      <c r="CX90" s="301">
        <f t="shared" si="55"/>
        <v>142946.26321757672</v>
      </c>
      <c r="CY90" s="301">
        <f t="shared" si="55"/>
        <v>142475.31706226163</v>
      </c>
      <c r="CZ90" s="301">
        <f t="shared" si="55"/>
        <v>142004.37090694651</v>
      </c>
      <c r="DA90" s="301">
        <f t="shared" si="55"/>
        <v>141533.42475163142</v>
      </c>
      <c r="DB90" s="301">
        <f t="shared" si="55"/>
        <v>141062.4785963163</v>
      </c>
      <c r="DC90" s="301">
        <f t="shared" si="55"/>
        <v>140591.53244100121</v>
      </c>
      <c r="DD90" s="301">
        <f t="shared" si="55"/>
        <v>140120.58628568609</v>
      </c>
      <c r="DE90" s="301">
        <f t="shared" si="55"/>
        <v>139649.640130371</v>
      </c>
      <c r="DF90" s="301">
        <f t="shared" si="55"/>
        <v>139178.69397505588</v>
      </c>
      <c r="DG90" s="301">
        <f t="shared" si="55"/>
        <v>138707.74781974079</v>
      </c>
      <c r="DH90" s="301">
        <f t="shared" si="55"/>
        <v>138236.80166442567</v>
      </c>
      <c r="DI90" s="301">
        <f t="shared" si="55"/>
        <v>137765.85550911058</v>
      </c>
      <c r="DJ90" s="301">
        <f t="shared" ref="DJ90" si="56">SUM(DJ86:DJ89)</f>
        <v>137294.90935379546</v>
      </c>
      <c r="DK90" s="301">
        <f t="shared" ref="DK90" si="57">SUM(DK86:DK89)</f>
        <v>136823.96319848037</v>
      </c>
      <c r="DL90" s="301">
        <f t="shared" ref="DL90" si="58">SUM(DL86:DL89)</f>
        <v>136353.01704316528</v>
      </c>
      <c r="DM90" s="301">
        <f t="shared" ref="DM90" si="59">SUM(DM86:DM89)</f>
        <v>135882.07088785016</v>
      </c>
      <c r="DN90" s="301">
        <f t="shared" ref="DN90" si="60">SUM(DN86:DN89)</f>
        <v>135411.12473253504</v>
      </c>
      <c r="DO90" s="301">
        <f t="shared" ref="DO90" si="61">SUM(DO86:DO89)</f>
        <v>134940.17857721995</v>
      </c>
      <c r="DP90" s="301">
        <f t="shared" ref="DP90" si="62">SUM(DP86:DP89)</f>
        <v>134469.23242190486</v>
      </c>
      <c r="DQ90" s="301">
        <f t="shared" ref="DQ90" si="63">SUM(DQ86:DQ89)</f>
        <v>133998.28626658974</v>
      </c>
      <c r="DR90" s="301">
        <f t="shared" ref="DR90" si="64">SUM(DR86:DR89)</f>
        <v>133527.34011127462</v>
      </c>
      <c r="DS90" s="301">
        <f t="shared" ref="DS90" si="65">SUM(DS86:DS89)</f>
        <v>133056.39395595953</v>
      </c>
      <c r="DT90" s="301">
        <f t="shared" ref="DT90" si="66">SUM(DT86:DT89)</f>
        <v>132585.44780064441</v>
      </c>
      <c r="DU90" s="301">
        <f t="shared" ref="DU90" si="67">SUM(DU86:DU89)</f>
        <v>132114.50164532929</v>
      </c>
    </row>
    <row r="91" spans="1:125">
      <c r="B91" s="297" t="s">
        <v>211</v>
      </c>
      <c r="C91" s="298">
        <f>SUM(C92:C111)</f>
        <v>12838.083333333336</v>
      </c>
      <c r="D91" s="299"/>
      <c r="E91" s="299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  <c r="BO91" s="298"/>
      <c r="BP91" s="298"/>
      <c r="BQ91" s="298"/>
      <c r="BR91" s="298"/>
      <c r="BS91" s="298"/>
      <c r="BT91" s="298"/>
      <c r="BU91" s="298"/>
      <c r="BV91" s="298"/>
      <c r="BW91" s="298"/>
      <c r="BX91" s="298"/>
      <c r="BY91" s="298"/>
      <c r="BZ91" s="298"/>
      <c r="CA91" s="298"/>
      <c r="CB91" s="298"/>
      <c r="CC91" s="298"/>
      <c r="CD91" s="298"/>
      <c r="CE91" s="298"/>
      <c r="CF91" s="298"/>
      <c r="CG91" s="298"/>
      <c r="CH91" s="298"/>
      <c r="CI91" s="298"/>
      <c r="CJ91" s="298"/>
      <c r="CK91" s="298"/>
      <c r="CL91" s="298"/>
      <c r="CM91" s="298"/>
      <c r="CN91" s="298"/>
      <c r="CO91" s="298"/>
      <c r="CP91" s="298"/>
      <c r="CQ91" s="298"/>
      <c r="CR91" s="298"/>
      <c r="CS91" s="298"/>
      <c r="CT91" s="298"/>
      <c r="CU91" s="298"/>
      <c r="CV91" s="298"/>
      <c r="CW91" s="298"/>
      <c r="CX91" s="298"/>
      <c r="CY91" s="298"/>
      <c r="CZ91" s="298"/>
      <c r="DA91" s="298"/>
      <c r="DB91" s="298"/>
      <c r="DC91" s="298"/>
      <c r="DD91" s="298"/>
      <c r="DE91" s="298"/>
      <c r="DF91" s="298"/>
      <c r="DG91" s="298"/>
      <c r="DH91" s="298"/>
      <c r="DI91" s="298"/>
      <c r="DJ91" s="298"/>
      <c r="DK91" s="298"/>
      <c r="DL91" s="298"/>
      <c r="DM91" s="298"/>
      <c r="DN91" s="298"/>
      <c r="DO91" s="298"/>
      <c r="DP91" s="298"/>
      <c r="DQ91" s="298"/>
      <c r="DR91" s="298"/>
      <c r="DS91" s="298"/>
      <c r="DT91" s="298"/>
      <c r="DU91" s="298"/>
    </row>
    <row r="92" spans="1:125">
      <c r="A92" s="55"/>
      <c r="B92" s="277" t="str">
        <f>B41</f>
        <v>Лентопильный станок</v>
      </c>
      <c r="C92" s="370">
        <f>E41-E41*Исх.данные!$B$21</f>
        <v>50</v>
      </c>
      <c r="D92" s="383"/>
      <c r="E92" s="305">
        <v>31</v>
      </c>
      <c r="F92" s="285">
        <f t="shared" ref="F92:P92" si="68">$C$92/$E$92/12</f>
        <v>0.13440860215053763</v>
      </c>
      <c r="G92" s="285">
        <f t="shared" si="68"/>
        <v>0.13440860215053763</v>
      </c>
      <c r="H92" s="285">
        <f t="shared" si="68"/>
        <v>0.13440860215053763</v>
      </c>
      <c r="I92" s="285">
        <f t="shared" si="68"/>
        <v>0.13440860215053763</v>
      </c>
      <c r="J92" s="285">
        <f t="shared" si="68"/>
        <v>0.13440860215053763</v>
      </c>
      <c r="K92" s="285">
        <f t="shared" si="68"/>
        <v>0.13440860215053763</v>
      </c>
      <c r="L92" s="285">
        <f t="shared" si="68"/>
        <v>0.13440860215053763</v>
      </c>
      <c r="M92" s="285">
        <f t="shared" si="68"/>
        <v>0.13440860215053763</v>
      </c>
      <c r="N92" s="285">
        <f t="shared" si="68"/>
        <v>0.13440860215053763</v>
      </c>
      <c r="O92" s="285">
        <f t="shared" si="68"/>
        <v>0.13440860215053763</v>
      </c>
      <c r="P92" s="285">
        <f t="shared" si="68"/>
        <v>0.13440860215053763</v>
      </c>
      <c r="Q92" s="285">
        <f>$C$92/$E$92/12</f>
        <v>0.13440860215053763</v>
      </c>
      <c r="R92" s="285">
        <f t="shared" ref="R92:BR92" si="69">$C$92/$E$92/12</f>
        <v>0.13440860215053763</v>
      </c>
      <c r="S92" s="285">
        <f t="shared" si="69"/>
        <v>0.13440860215053763</v>
      </c>
      <c r="T92" s="285">
        <f t="shared" si="69"/>
        <v>0.13440860215053763</v>
      </c>
      <c r="U92" s="285">
        <f t="shared" si="69"/>
        <v>0.13440860215053763</v>
      </c>
      <c r="V92" s="285">
        <f t="shared" si="69"/>
        <v>0.13440860215053763</v>
      </c>
      <c r="W92" s="285">
        <f t="shared" si="69"/>
        <v>0.13440860215053763</v>
      </c>
      <c r="X92" s="285">
        <f t="shared" si="69"/>
        <v>0.13440860215053763</v>
      </c>
      <c r="Y92" s="285">
        <f t="shared" si="69"/>
        <v>0.13440860215053763</v>
      </c>
      <c r="Z92" s="285">
        <f t="shared" si="69"/>
        <v>0.13440860215053763</v>
      </c>
      <c r="AA92" s="285">
        <f t="shared" si="69"/>
        <v>0.13440860215053763</v>
      </c>
      <c r="AB92" s="285">
        <f t="shared" si="69"/>
        <v>0.13440860215053763</v>
      </c>
      <c r="AC92" s="285">
        <f t="shared" si="69"/>
        <v>0.13440860215053763</v>
      </c>
      <c r="AD92" s="285">
        <f t="shared" si="69"/>
        <v>0.13440860215053763</v>
      </c>
      <c r="AE92" s="285">
        <f t="shared" si="69"/>
        <v>0.13440860215053763</v>
      </c>
      <c r="AF92" s="285">
        <f t="shared" si="69"/>
        <v>0.13440860215053763</v>
      </c>
      <c r="AG92" s="285">
        <f t="shared" si="69"/>
        <v>0.13440860215053763</v>
      </c>
      <c r="AH92" s="285">
        <f t="shared" si="69"/>
        <v>0.13440860215053763</v>
      </c>
      <c r="AI92" s="285">
        <f t="shared" si="69"/>
        <v>0.13440860215053763</v>
      </c>
      <c r="AJ92" s="285">
        <f t="shared" si="69"/>
        <v>0.13440860215053763</v>
      </c>
      <c r="AK92" s="285">
        <f t="shared" si="69"/>
        <v>0.13440860215053763</v>
      </c>
      <c r="AL92" s="285">
        <f t="shared" si="69"/>
        <v>0.13440860215053763</v>
      </c>
      <c r="AM92" s="285">
        <f t="shared" si="69"/>
        <v>0.13440860215053763</v>
      </c>
      <c r="AN92" s="285">
        <f t="shared" si="69"/>
        <v>0.13440860215053763</v>
      </c>
      <c r="AO92" s="285">
        <f t="shared" si="69"/>
        <v>0.13440860215053763</v>
      </c>
      <c r="AP92" s="285">
        <f t="shared" si="69"/>
        <v>0.13440860215053763</v>
      </c>
      <c r="AQ92" s="285">
        <f t="shared" si="69"/>
        <v>0.13440860215053763</v>
      </c>
      <c r="AR92" s="285">
        <f t="shared" si="69"/>
        <v>0.13440860215053763</v>
      </c>
      <c r="AS92" s="285">
        <f t="shared" si="69"/>
        <v>0.13440860215053763</v>
      </c>
      <c r="AT92" s="285">
        <f t="shared" si="69"/>
        <v>0.13440860215053763</v>
      </c>
      <c r="AU92" s="285">
        <f t="shared" si="69"/>
        <v>0.13440860215053763</v>
      </c>
      <c r="AV92" s="285">
        <f t="shared" si="69"/>
        <v>0.13440860215053763</v>
      </c>
      <c r="AW92" s="285">
        <f t="shared" si="69"/>
        <v>0.13440860215053763</v>
      </c>
      <c r="AX92" s="285">
        <f t="shared" si="69"/>
        <v>0.13440860215053763</v>
      </c>
      <c r="AY92" s="285">
        <f t="shared" si="69"/>
        <v>0.13440860215053763</v>
      </c>
      <c r="AZ92" s="285">
        <f t="shared" si="69"/>
        <v>0.13440860215053763</v>
      </c>
      <c r="BA92" s="285">
        <f t="shared" si="69"/>
        <v>0.13440860215053763</v>
      </c>
      <c r="BB92" s="285">
        <f t="shared" si="69"/>
        <v>0.13440860215053763</v>
      </c>
      <c r="BC92" s="285">
        <f t="shared" si="69"/>
        <v>0.13440860215053763</v>
      </c>
      <c r="BD92" s="285">
        <f t="shared" si="69"/>
        <v>0.13440860215053763</v>
      </c>
      <c r="BE92" s="285">
        <f t="shared" si="69"/>
        <v>0.13440860215053763</v>
      </c>
      <c r="BF92" s="285">
        <f t="shared" si="69"/>
        <v>0.13440860215053763</v>
      </c>
      <c r="BG92" s="285">
        <f t="shared" si="69"/>
        <v>0.13440860215053763</v>
      </c>
      <c r="BH92" s="285">
        <f t="shared" si="69"/>
        <v>0.13440860215053763</v>
      </c>
      <c r="BI92" s="285">
        <f t="shared" si="69"/>
        <v>0.13440860215053763</v>
      </c>
      <c r="BJ92" s="285">
        <f t="shared" si="69"/>
        <v>0.13440860215053763</v>
      </c>
      <c r="BK92" s="285">
        <f t="shared" si="69"/>
        <v>0.13440860215053763</v>
      </c>
      <c r="BL92" s="285">
        <f t="shared" si="69"/>
        <v>0.13440860215053763</v>
      </c>
      <c r="BM92" s="285">
        <f t="shared" si="69"/>
        <v>0.13440860215053763</v>
      </c>
      <c r="BN92" s="285">
        <f t="shared" si="69"/>
        <v>0.13440860215053763</v>
      </c>
      <c r="BO92" s="285">
        <f t="shared" si="69"/>
        <v>0.13440860215053763</v>
      </c>
      <c r="BP92" s="285">
        <f t="shared" si="69"/>
        <v>0.13440860215053763</v>
      </c>
      <c r="BQ92" s="285">
        <f t="shared" si="69"/>
        <v>0.13440860215053763</v>
      </c>
      <c r="BR92" s="285">
        <f t="shared" si="69"/>
        <v>0.13440860215053763</v>
      </c>
      <c r="BS92" s="285">
        <f t="shared" ref="BS92:DI92" si="70">$C$92/$E$92/12</f>
        <v>0.13440860215053763</v>
      </c>
      <c r="BT92" s="285">
        <f t="shared" si="70"/>
        <v>0.13440860215053763</v>
      </c>
      <c r="BU92" s="285">
        <f t="shared" si="70"/>
        <v>0.13440860215053763</v>
      </c>
      <c r="BV92" s="285">
        <f t="shared" si="70"/>
        <v>0.13440860215053763</v>
      </c>
      <c r="BW92" s="285">
        <f t="shared" si="70"/>
        <v>0.13440860215053763</v>
      </c>
      <c r="BX92" s="285">
        <f t="shared" si="70"/>
        <v>0.13440860215053763</v>
      </c>
      <c r="BY92" s="285">
        <f t="shared" si="70"/>
        <v>0.13440860215053763</v>
      </c>
      <c r="BZ92" s="285">
        <f t="shared" si="70"/>
        <v>0.13440860215053763</v>
      </c>
      <c r="CA92" s="285">
        <f t="shared" si="70"/>
        <v>0.13440860215053763</v>
      </c>
      <c r="CB92" s="285">
        <f t="shared" si="70"/>
        <v>0.13440860215053763</v>
      </c>
      <c r="CC92" s="285">
        <f t="shared" si="70"/>
        <v>0.13440860215053763</v>
      </c>
      <c r="CD92" s="285">
        <f t="shared" si="70"/>
        <v>0.13440860215053763</v>
      </c>
      <c r="CE92" s="285">
        <f t="shared" si="70"/>
        <v>0.13440860215053763</v>
      </c>
      <c r="CF92" s="285">
        <f t="shared" si="70"/>
        <v>0.13440860215053763</v>
      </c>
      <c r="CG92" s="285">
        <f t="shared" si="70"/>
        <v>0.13440860215053763</v>
      </c>
      <c r="CH92" s="285">
        <f t="shared" si="70"/>
        <v>0.13440860215053763</v>
      </c>
      <c r="CI92" s="285">
        <f t="shared" si="70"/>
        <v>0.13440860215053763</v>
      </c>
      <c r="CJ92" s="285">
        <f t="shared" si="70"/>
        <v>0.13440860215053763</v>
      </c>
      <c r="CK92" s="285">
        <f t="shared" si="70"/>
        <v>0.13440860215053763</v>
      </c>
      <c r="CL92" s="285">
        <f t="shared" si="70"/>
        <v>0.13440860215053763</v>
      </c>
      <c r="CM92" s="285">
        <f t="shared" si="70"/>
        <v>0.13440860215053763</v>
      </c>
      <c r="CN92" s="285">
        <f t="shared" si="70"/>
        <v>0.13440860215053763</v>
      </c>
      <c r="CO92" s="285">
        <f t="shared" si="70"/>
        <v>0.13440860215053763</v>
      </c>
      <c r="CP92" s="285">
        <f t="shared" si="70"/>
        <v>0.13440860215053763</v>
      </c>
      <c r="CQ92" s="285">
        <f t="shared" si="70"/>
        <v>0.13440860215053763</v>
      </c>
      <c r="CR92" s="285">
        <f t="shared" si="70"/>
        <v>0.13440860215053763</v>
      </c>
      <c r="CS92" s="285">
        <f t="shared" si="70"/>
        <v>0.13440860215053763</v>
      </c>
      <c r="CT92" s="285">
        <f t="shared" si="70"/>
        <v>0.13440860215053763</v>
      </c>
      <c r="CU92" s="285">
        <f t="shared" si="70"/>
        <v>0.13440860215053763</v>
      </c>
      <c r="CV92" s="285">
        <f t="shared" si="70"/>
        <v>0.13440860215053763</v>
      </c>
      <c r="CW92" s="285">
        <f t="shared" si="70"/>
        <v>0.13440860215053763</v>
      </c>
      <c r="CX92" s="285">
        <f t="shared" si="70"/>
        <v>0.13440860215053763</v>
      </c>
      <c r="CY92" s="285">
        <f t="shared" si="70"/>
        <v>0.13440860215053763</v>
      </c>
      <c r="CZ92" s="285">
        <f t="shared" si="70"/>
        <v>0.13440860215053763</v>
      </c>
      <c r="DA92" s="285">
        <f t="shared" si="70"/>
        <v>0.13440860215053763</v>
      </c>
      <c r="DB92" s="285">
        <f t="shared" si="70"/>
        <v>0.13440860215053763</v>
      </c>
      <c r="DC92" s="285">
        <f t="shared" si="70"/>
        <v>0.13440860215053763</v>
      </c>
      <c r="DD92" s="285">
        <f t="shared" si="70"/>
        <v>0.13440860215053763</v>
      </c>
      <c r="DE92" s="285">
        <f t="shared" si="70"/>
        <v>0.13440860215053763</v>
      </c>
      <c r="DF92" s="285">
        <f t="shared" si="70"/>
        <v>0.13440860215053763</v>
      </c>
      <c r="DG92" s="285">
        <f t="shared" si="70"/>
        <v>0.13440860215053763</v>
      </c>
      <c r="DH92" s="285">
        <f t="shared" si="70"/>
        <v>0.13440860215053763</v>
      </c>
      <c r="DI92" s="285">
        <f t="shared" si="70"/>
        <v>0.13440860215053763</v>
      </c>
      <c r="DJ92" s="285">
        <f t="shared" ref="DJ92:DU92" si="71">$C$92/$E$92/12</f>
        <v>0.13440860215053763</v>
      </c>
      <c r="DK92" s="285">
        <f t="shared" si="71"/>
        <v>0.13440860215053763</v>
      </c>
      <c r="DL92" s="285">
        <f t="shared" si="71"/>
        <v>0.13440860215053763</v>
      </c>
      <c r="DM92" s="285">
        <f t="shared" si="71"/>
        <v>0.13440860215053763</v>
      </c>
      <c r="DN92" s="285">
        <f t="shared" si="71"/>
        <v>0.13440860215053763</v>
      </c>
      <c r="DO92" s="285">
        <f t="shared" si="71"/>
        <v>0.13440860215053763</v>
      </c>
      <c r="DP92" s="285">
        <f t="shared" si="71"/>
        <v>0.13440860215053763</v>
      </c>
      <c r="DQ92" s="285">
        <f t="shared" si="71"/>
        <v>0.13440860215053763</v>
      </c>
      <c r="DR92" s="285">
        <f t="shared" si="71"/>
        <v>0.13440860215053763</v>
      </c>
      <c r="DS92" s="285">
        <f t="shared" si="71"/>
        <v>0.13440860215053763</v>
      </c>
      <c r="DT92" s="285">
        <f t="shared" si="71"/>
        <v>0.13440860215053763</v>
      </c>
      <c r="DU92" s="285">
        <f t="shared" si="71"/>
        <v>0.13440860215053763</v>
      </c>
    </row>
    <row r="93" spans="1:125">
      <c r="A93" s="55"/>
      <c r="B93" s="277" t="str">
        <f t="shared" ref="B93:B118" si="72">B42</f>
        <v>Рольганг 4м</v>
      </c>
      <c r="C93" s="370">
        <f>E42-E42*Исх.данные!$B$21</f>
        <v>793.33333333333326</v>
      </c>
      <c r="D93" s="383"/>
      <c r="E93" s="305">
        <v>31</v>
      </c>
      <c r="F93" s="285">
        <f t="shared" ref="F93:O93" si="73">$C$93/$E$93/12</f>
        <v>2.1326164874551972</v>
      </c>
      <c r="G93" s="285">
        <f t="shared" si="73"/>
        <v>2.1326164874551972</v>
      </c>
      <c r="H93" s="285">
        <f t="shared" si="73"/>
        <v>2.1326164874551972</v>
      </c>
      <c r="I93" s="285">
        <f t="shared" si="73"/>
        <v>2.1326164874551972</v>
      </c>
      <c r="J93" s="285">
        <f t="shared" si="73"/>
        <v>2.1326164874551972</v>
      </c>
      <c r="K93" s="285">
        <f t="shared" si="73"/>
        <v>2.1326164874551972</v>
      </c>
      <c r="L93" s="285">
        <f t="shared" si="73"/>
        <v>2.1326164874551972</v>
      </c>
      <c r="M93" s="285">
        <f t="shared" si="73"/>
        <v>2.1326164874551972</v>
      </c>
      <c r="N93" s="285">
        <f t="shared" si="73"/>
        <v>2.1326164874551972</v>
      </c>
      <c r="O93" s="285">
        <f t="shared" si="73"/>
        <v>2.1326164874551972</v>
      </c>
      <c r="P93" s="285">
        <f>$C$93/$E$93/12</f>
        <v>2.1326164874551972</v>
      </c>
      <c r="Q93" s="285">
        <f>$C$93/$E$93/12</f>
        <v>2.1326164874551972</v>
      </c>
      <c r="R93" s="285">
        <f t="shared" ref="R93:BR93" si="74">$C$93/$E$93/12</f>
        <v>2.1326164874551972</v>
      </c>
      <c r="S93" s="285">
        <f t="shared" si="74"/>
        <v>2.1326164874551972</v>
      </c>
      <c r="T93" s="285">
        <f t="shared" si="74"/>
        <v>2.1326164874551972</v>
      </c>
      <c r="U93" s="285">
        <f t="shared" si="74"/>
        <v>2.1326164874551972</v>
      </c>
      <c r="V93" s="285">
        <f t="shared" si="74"/>
        <v>2.1326164874551972</v>
      </c>
      <c r="W93" s="285">
        <f t="shared" si="74"/>
        <v>2.1326164874551972</v>
      </c>
      <c r="X93" s="285">
        <f t="shared" si="74"/>
        <v>2.1326164874551972</v>
      </c>
      <c r="Y93" s="285">
        <f t="shared" si="74"/>
        <v>2.1326164874551972</v>
      </c>
      <c r="Z93" s="285">
        <f t="shared" si="74"/>
        <v>2.1326164874551972</v>
      </c>
      <c r="AA93" s="285">
        <f t="shared" si="74"/>
        <v>2.1326164874551972</v>
      </c>
      <c r="AB93" s="285">
        <f t="shared" si="74"/>
        <v>2.1326164874551972</v>
      </c>
      <c r="AC93" s="285">
        <f t="shared" si="74"/>
        <v>2.1326164874551972</v>
      </c>
      <c r="AD93" s="285">
        <f t="shared" si="74"/>
        <v>2.1326164874551972</v>
      </c>
      <c r="AE93" s="285">
        <f t="shared" si="74"/>
        <v>2.1326164874551972</v>
      </c>
      <c r="AF93" s="285">
        <f t="shared" si="74"/>
        <v>2.1326164874551972</v>
      </c>
      <c r="AG93" s="285">
        <f t="shared" si="74"/>
        <v>2.1326164874551972</v>
      </c>
      <c r="AH93" s="285">
        <f t="shared" si="74"/>
        <v>2.1326164874551972</v>
      </c>
      <c r="AI93" s="285">
        <f t="shared" si="74"/>
        <v>2.1326164874551972</v>
      </c>
      <c r="AJ93" s="285">
        <f t="shared" si="74"/>
        <v>2.1326164874551972</v>
      </c>
      <c r="AK93" s="285">
        <f t="shared" si="74"/>
        <v>2.1326164874551972</v>
      </c>
      <c r="AL93" s="285">
        <f t="shared" si="74"/>
        <v>2.1326164874551972</v>
      </c>
      <c r="AM93" s="285">
        <f t="shared" si="74"/>
        <v>2.1326164874551972</v>
      </c>
      <c r="AN93" s="285">
        <f t="shared" si="74"/>
        <v>2.1326164874551972</v>
      </c>
      <c r="AO93" s="285">
        <f t="shared" si="74"/>
        <v>2.1326164874551972</v>
      </c>
      <c r="AP93" s="285">
        <f t="shared" si="74"/>
        <v>2.1326164874551972</v>
      </c>
      <c r="AQ93" s="285">
        <f t="shared" si="74"/>
        <v>2.1326164874551972</v>
      </c>
      <c r="AR93" s="285">
        <f t="shared" si="74"/>
        <v>2.1326164874551972</v>
      </c>
      <c r="AS93" s="285">
        <f t="shared" si="74"/>
        <v>2.1326164874551972</v>
      </c>
      <c r="AT93" s="285">
        <f t="shared" si="74"/>
        <v>2.1326164874551972</v>
      </c>
      <c r="AU93" s="285">
        <f t="shared" si="74"/>
        <v>2.1326164874551972</v>
      </c>
      <c r="AV93" s="285">
        <f t="shared" si="74"/>
        <v>2.1326164874551972</v>
      </c>
      <c r="AW93" s="285">
        <f t="shared" si="74"/>
        <v>2.1326164874551972</v>
      </c>
      <c r="AX93" s="285">
        <f t="shared" si="74"/>
        <v>2.1326164874551972</v>
      </c>
      <c r="AY93" s="285">
        <f t="shared" si="74"/>
        <v>2.1326164874551972</v>
      </c>
      <c r="AZ93" s="285">
        <f t="shared" si="74"/>
        <v>2.1326164874551972</v>
      </c>
      <c r="BA93" s="285">
        <f t="shared" si="74"/>
        <v>2.1326164874551972</v>
      </c>
      <c r="BB93" s="285">
        <f t="shared" si="74"/>
        <v>2.1326164874551972</v>
      </c>
      <c r="BC93" s="285">
        <f t="shared" si="74"/>
        <v>2.1326164874551972</v>
      </c>
      <c r="BD93" s="285">
        <f t="shared" si="74"/>
        <v>2.1326164874551972</v>
      </c>
      <c r="BE93" s="285">
        <f t="shared" si="74"/>
        <v>2.1326164874551972</v>
      </c>
      <c r="BF93" s="285">
        <f t="shared" si="74"/>
        <v>2.1326164874551972</v>
      </c>
      <c r="BG93" s="285">
        <f t="shared" si="74"/>
        <v>2.1326164874551972</v>
      </c>
      <c r="BH93" s="285">
        <f t="shared" si="74"/>
        <v>2.1326164874551972</v>
      </c>
      <c r="BI93" s="285">
        <f t="shared" si="74"/>
        <v>2.1326164874551972</v>
      </c>
      <c r="BJ93" s="285">
        <f t="shared" si="74"/>
        <v>2.1326164874551972</v>
      </c>
      <c r="BK93" s="285">
        <f t="shared" si="74"/>
        <v>2.1326164874551972</v>
      </c>
      <c r="BL93" s="285">
        <f t="shared" si="74"/>
        <v>2.1326164874551972</v>
      </c>
      <c r="BM93" s="285">
        <f t="shared" si="74"/>
        <v>2.1326164874551972</v>
      </c>
      <c r="BN93" s="285">
        <f t="shared" si="74"/>
        <v>2.1326164874551972</v>
      </c>
      <c r="BO93" s="285">
        <f t="shared" si="74"/>
        <v>2.1326164874551972</v>
      </c>
      <c r="BP93" s="285">
        <f t="shared" si="74"/>
        <v>2.1326164874551972</v>
      </c>
      <c r="BQ93" s="285">
        <f t="shared" si="74"/>
        <v>2.1326164874551972</v>
      </c>
      <c r="BR93" s="285">
        <f t="shared" si="74"/>
        <v>2.1326164874551972</v>
      </c>
      <c r="BS93" s="285">
        <f t="shared" ref="BS93:DI93" si="75">$C$93/$E$93/12</f>
        <v>2.1326164874551972</v>
      </c>
      <c r="BT93" s="285">
        <f t="shared" si="75"/>
        <v>2.1326164874551972</v>
      </c>
      <c r="BU93" s="285">
        <f t="shared" si="75"/>
        <v>2.1326164874551972</v>
      </c>
      <c r="BV93" s="285">
        <f t="shared" si="75"/>
        <v>2.1326164874551972</v>
      </c>
      <c r="BW93" s="285">
        <f t="shared" si="75"/>
        <v>2.1326164874551972</v>
      </c>
      <c r="BX93" s="285">
        <f t="shared" si="75"/>
        <v>2.1326164874551972</v>
      </c>
      <c r="BY93" s="285">
        <f t="shared" si="75"/>
        <v>2.1326164874551972</v>
      </c>
      <c r="BZ93" s="285">
        <f t="shared" si="75"/>
        <v>2.1326164874551972</v>
      </c>
      <c r="CA93" s="285">
        <f t="shared" si="75"/>
        <v>2.1326164874551972</v>
      </c>
      <c r="CB93" s="285">
        <f t="shared" si="75"/>
        <v>2.1326164874551972</v>
      </c>
      <c r="CC93" s="285">
        <f t="shared" si="75"/>
        <v>2.1326164874551972</v>
      </c>
      <c r="CD93" s="285">
        <f t="shared" si="75"/>
        <v>2.1326164874551972</v>
      </c>
      <c r="CE93" s="285">
        <f t="shared" si="75"/>
        <v>2.1326164874551972</v>
      </c>
      <c r="CF93" s="285">
        <f t="shared" si="75"/>
        <v>2.1326164874551972</v>
      </c>
      <c r="CG93" s="285">
        <f t="shared" si="75"/>
        <v>2.1326164874551972</v>
      </c>
      <c r="CH93" s="285">
        <f t="shared" si="75"/>
        <v>2.1326164874551972</v>
      </c>
      <c r="CI93" s="285">
        <f t="shared" si="75"/>
        <v>2.1326164874551972</v>
      </c>
      <c r="CJ93" s="285">
        <f t="shared" si="75"/>
        <v>2.1326164874551972</v>
      </c>
      <c r="CK93" s="285">
        <f t="shared" si="75"/>
        <v>2.1326164874551972</v>
      </c>
      <c r="CL93" s="285">
        <f t="shared" si="75"/>
        <v>2.1326164874551972</v>
      </c>
      <c r="CM93" s="285">
        <f t="shared" si="75"/>
        <v>2.1326164874551972</v>
      </c>
      <c r="CN93" s="285">
        <f t="shared" si="75"/>
        <v>2.1326164874551972</v>
      </c>
      <c r="CO93" s="285">
        <f t="shared" si="75"/>
        <v>2.1326164874551972</v>
      </c>
      <c r="CP93" s="285">
        <f t="shared" si="75"/>
        <v>2.1326164874551972</v>
      </c>
      <c r="CQ93" s="285">
        <f t="shared" si="75"/>
        <v>2.1326164874551972</v>
      </c>
      <c r="CR93" s="285">
        <f t="shared" si="75"/>
        <v>2.1326164874551972</v>
      </c>
      <c r="CS93" s="285">
        <f t="shared" si="75"/>
        <v>2.1326164874551972</v>
      </c>
      <c r="CT93" s="285">
        <f t="shared" si="75"/>
        <v>2.1326164874551972</v>
      </c>
      <c r="CU93" s="285">
        <f t="shared" si="75"/>
        <v>2.1326164874551972</v>
      </c>
      <c r="CV93" s="285">
        <f t="shared" si="75"/>
        <v>2.1326164874551972</v>
      </c>
      <c r="CW93" s="285">
        <f t="shared" si="75"/>
        <v>2.1326164874551972</v>
      </c>
      <c r="CX93" s="285">
        <f t="shared" si="75"/>
        <v>2.1326164874551972</v>
      </c>
      <c r="CY93" s="285">
        <f t="shared" si="75"/>
        <v>2.1326164874551972</v>
      </c>
      <c r="CZ93" s="285">
        <f t="shared" si="75"/>
        <v>2.1326164874551972</v>
      </c>
      <c r="DA93" s="285">
        <f t="shared" si="75"/>
        <v>2.1326164874551972</v>
      </c>
      <c r="DB93" s="285">
        <f t="shared" si="75"/>
        <v>2.1326164874551972</v>
      </c>
      <c r="DC93" s="285">
        <f t="shared" si="75"/>
        <v>2.1326164874551972</v>
      </c>
      <c r="DD93" s="285">
        <f t="shared" si="75"/>
        <v>2.1326164874551972</v>
      </c>
      <c r="DE93" s="285">
        <f t="shared" si="75"/>
        <v>2.1326164874551972</v>
      </c>
      <c r="DF93" s="285">
        <f t="shared" si="75"/>
        <v>2.1326164874551972</v>
      </c>
      <c r="DG93" s="285">
        <f t="shared" si="75"/>
        <v>2.1326164874551972</v>
      </c>
      <c r="DH93" s="285">
        <f t="shared" si="75"/>
        <v>2.1326164874551972</v>
      </c>
      <c r="DI93" s="285">
        <f t="shared" si="75"/>
        <v>2.1326164874551972</v>
      </c>
      <c r="DJ93" s="285">
        <f t="shared" ref="DJ93:DU93" si="76">$C$93/$E$93/12</f>
        <v>2.1326164874551972</v>
      </c>
      <c r="DK93" s="285">
        <f t="shared" si="76"/>
        <v>2.1326164874551972</v>
      </c>
      <c r="DL93" s="285">
        <f t="shared" si="76"/>
        <v>2.1326164874551972</v>
      </c>
      <c r="DM93" s="285">
        <f t="shared" si="76"/>
        <v>2.1326164874551972</v>
      </c>
      <c r="DN93" s="285">
        <f t="shared" si="76"/>
        <v>2.1326164874551972</v>
      </c>
      <c r="DO93" s="285">
        <f t="shared" si="76"/>
        <v>2.1326164874551972</v>
      </c>
      <c r="DP93" s="285">
        <f t="shared" si="76"/>
        <v>2.1326164874551972</v>
      </c>
      <c r="DQ93" s="285">
        <f t="shared" si="76"/>
        <v>2.1326164874551972</v>
      </c>
      <c r="DR93" s="285">
        <f t="shared" si="76"/>
        <v>2.1326164874551972</v>
      </c>
      <c r="DS93" s="285">
        <f t="shared" si="76"/>
        <v>2.1326164874551972</v>
      </c>
      <c r="DT93" s="285">
        <f t="shared" si="76"/>
        <v>2.1326164874551972</v>
      </c>
      <c r="DU93" s="285">
        <f t="shared" si="76"/>
        <v>2.1326164874551972</v>
      </c>
    </row>
    <row r="94" spans="1:125">
      <c r="A94" s="55"/>
      <c r="B94" s="277" t="str">
        <f t="shared" si="72"/>
        <v>Аппарат полуавтоматической сварки ПТК RILON MIG 350 GF с с манометром и рукавом (комплект сварочного поста)</v>
      </c>
      <c r="C94" s="370">
        <f>E43-E43*Исх.данные!$B$21</f>
        <v>229.75000000000003</v>
      </c>
      <c r="D94" s="383"/>
      <c r="E94" s="305">
        <v>31</v>
      </c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>
        <f>$C$94/$E$94/12</f>
        <v>0.61760752688172049</v>
      </c>
      <c r="Q94" s="285">
        <f t="shared" ref="Q94:CB94" si="77">$C$94/$E$94/12</f>
        <v>0.61760752688172049</v>
      </c>
      <c r="R94" s="285">
        <f t="shared" si="77"/>
        <v>0.61760752688172049</v>
      </c>
      <c r="S94" s="285">
        <f t="shared" si="77"/>
        <v>0.61760752688172049</v>
      </c>
      <c r="T94" s="285">
        <f t="shared" si="77"/>
        <v>0.61760752688172049</v>
      </c>
      <c r="U94" s="285">
        <f t="shared" si="77"/>
        <v>0.61760752688172049</v>
      </c>
      <c r="V94" s="285">
        <f t="shared" si="77"/>
        <v>0.61760752688172049</v>
      </c>
      <c r="W94" s="285">
        <f t="shared" si="77"/>
        <v>0.61760752688172049</v>
      </c>
      <c r="X94" s="285">
        <f t="shared" si="77"/>
        <v>0.61760752688172049</v>
      </c>
      <c r="Y94" s="285">
        <f t="shared" si="77"/>
        <v>0.61760752688172049</v>
      </c>
      <c r="Z94" s="285">
        <f t="shared" si="77"/>
        <v>0.61760752688172049</v>
      </c>
      <c r="AA94" s="285">
        <f t="shared" si="77"/>
        <v>0.61760752688172049</v>
      </c>
      <c r="AB94" s="285">
        <f t="shared" si="77"/>
        <v>0.61760752688172049</v>
      </c>
      <c r="AC94" s="285">
        <f t="shared" si="77"/>
        <v>0.61760752688172049</v>
      </c>
      <c r="AD94" s="285">
        <f t="shared" si="77"/>
        <v>0.61760752688172049</v>
      </c>
      <c r="AE94" s="285">
        <f t="shared" si="77"/>
        <v>0.61760752688172049</v>
      </c>
      <c r="AF94" s="285">
        <f t="shared" si="77"/>
        <v>0.61760752688172049</v>
      </c>
      <c r="AG94" s="285">
        <f t="shared" si="77"/>
        <v>0.61760752688172049</v>
      </c>
      <c r="AH94" s="285">
        <f t="shared" si="77"/>
        <v>0.61760752688172049</v>
      </c>
      <c r="AI94" s="285">
        <f t="shared" si="77"/>
        <v>0.61760752688172049</v>
      </c>
      <c r="AJ94" s="285">
        <f t="shared" si="77"/>
        <v>0.61760752688172049</v>
      </c>
      <c r="AK94" s="285">
        <f t="shared" si="77"/>
        <v>0.61760752688172049</v>
      </c>
      <c r="AL94" s="285">
        <f t="shared" si="77"/>
        <v>0.61760752688172049</v>
      </c>
      <c r="AM94" s="285">
        <f t="shared" si="77"/>
        <v>0.61760752688172049</v>
      </c>
      <c r="AN94" s="285">
        <f t="shared" si="77"/>
        <v>0.61760752688172049</v>
      </c>
      <c r="AO94" s="285">
        <f t="shared" si="77"/>
        <v>0.61760752688172049</v>
      </c>
      <c r="AP94" s="285">
        <f t="shared" si="77"/>
        <v>0.61760752688172049</v>
      </c>
      <c r="AQ94" s="285">
        <f t="shared" si="77"/>
        <v>0.61760752688172049</v>
      </c>
      <c r="AR94" s="285">
        <f t="shared" si="77"/>
        <v>0.61760752688172049</v>
      </c>
      <c r="AS94" s="285">
        <f t="shared" si="77"/>
        <v>0.61760752688172049</v>
      </c>
      <c r="AT94" s="285">
        <f t="shared" si="77"/>
        <v>0.61760752688172049</v>
      </c>
      <c r="AU94" s="285">
        <f t="shared" si="77"/>
        <v>0.61760752688172049</v>
      </c>
      <c r="AV94" s="285">
        <f t="shared" si="77"/>
        <v>0.61760752688172049</v>
      </c>
      <c r="AW94" s="285">
        <f t="shared" si="77"/>
        <v>0.61760752688172049</v>
      </c>
      <c r="AX94" s="285">
        <f t="shared" si="77"/>
        <v>0.61760752688172049</v>
      </c>
      <c r="AY94" s="285">
        <f t="shared" si="77"/>
        <v>0.61760752688172049</v>
      </c>
      <c r="AZ94" s="285">
        <f t="shared" si="77"/>
        <v>0.61760752688172049</v>
      </c>
      <c r="BA94" s="285">
        <f t="shared" si="77"/>
        <v>0.61760752688172049</v>
      </c>
      <c r="BB94" s="285">
        <f t="shared" si="77"/>
        <v>0.61760752688172049</v>
      </c>
      <c r="BC94" s="285">
        <f t="shared" si="77"/>
        <v>0.61760752688172049</v>
      </c>
      <c r="BD94" s="285">
        <f t="shared" si="77"/>
        <v>0.61760752688172049</v>
      </c>
      <c r="BE94" s="285">
        <f t="shared" si="77"/>
        <v>0.61760752688172049</v>
      </c>
      <c r="BF94" s="285">
        <f t="shared" si="77"/>
        <v>0.61760752688172049</v>
      </c>
      <c r="BG94" s="285">
        <f t="shared" si="77"/>
        <v>0.61760752688172049</v>
      </c>
      <c r="BH94" s="285">
        <f t="shared" si="77"/>
        <v>0.61760752688172049</v>
      </c>
      <c r="BI94" s="285">
        <f t="shared" si="77"/>
        <v>0.61760752688172049</v>
      </c>
      <c r="BJ94" s="285">
        <f t="shared" si="77"/>
        <v>0.61760752688172049</v>
      </c>
      <c r="BK94" s="285">
        <f t="shared" si="77"/>
        <v>0.61760752688172049</v>
      </c>
      <c r="BL94" s="285">
        <f t="shared" si="77"/>
        <v>0.61760752688172049</v>
      </c>
      <c r="BM94" s="285">
        <f t="shared" si="77"/>
        <v>0.61760752688172049</v>
      </c>
      <c r="BN94" s="285">
        <f t="shared" si="77"/>
        <v>0.61760752688172049</v>
      </c>
      <c r="BO94" s="285">
        <f t="shared" si="77"/>
        <v>0.61760752688172049</v>
      </c>
      <c r="BP94" s="285">
        <f t="shared" si="77"/>
        <v>0.61760752688172049</v>
      </c>
      <c r="BQ94" s="285">
        <f t="shared" si="77"/>
        <v>0.61760752688172049</v>
      </c>
      <c r="BR94" s="285">
        <f t="shared" si="77"/>
        <v>0.61760752688172049</v>
      </c>
      <c r="BS94" s="285">
        <f t="shared" si="77"/>
        <v>0.61760752688172049</v>
      </c>
      <c r="BT94" s="285">
        <f t="shared" si="77"/>
        <v>0.61760752688172049</v>
      </c>
      <c r="BU94" s="285">
        <f t="shared" si="77"/>
        <v>0.61760752688172049</v>
      </c>
      <c r="BV94" s="285">
        <f t="shared" si="77"/>
        <v>0.61760752688172049</v>
      </c>
      <c r="BW94" s="285">
        <f t="shared" si="77"/>
        <v>0.61760752688172049</v>
      </c>
      <c r="BX94" s="285">
        <f t="shared" si="77"/>
        <v>0.61760752688172049</v>
      </c>
      <c r="BY94" s="285">
        <f t="shared" si="77"/>
        <v>0.61760752688172049</v>
      </c>
      <c r="BZ94" s="285">
        <f t="shared" si="77"/>
        <v>0.61760752688172049</v>
      </c>
      <c r="CA94" s="285">
        <f t="shared" si="77"/>
        <v>0.61760752688172049</v>
      </c>
      <c r="CB94" s="285">
        <f t="shared" si="77"/>
        <v>0.61760752688172049</v>
      </c>
      <c r="CC94" s="285">
        <f t="shared" ref="CC94:DU94" si="78">$C$94/$E$94/12</f>
        <v>0.61760752688172049</v>
      </c>
      <c r="CD94" s="285">
        <f t="shared" si="78"/>
        <v>0.61760752688172049</v>
      </c>
      <c r="CE94" s="285">
        <f t="shared" si="78"/>
        <v>0.61760752688172049</v>
      </c>
      <c r="CF94" s="285">
        <f t="shared" si="78"/>
        <v>0.61760752688172049</v>
      </c>
      <c r="CG94" s="285">
        <f t="shared" si="78"/>
        <v>0.61760752688172049</v>
      </c>
      <c r="CH94" s="285">
        <f t="shared" si="78"/>
        <v>0.61760752688172049</v>
      </c>
      <c r="CI94" s="285">
        <f t="shared" si="78"/>
        <v>0.61760752688172049</v>
      </c>
      <c r="CJ94" s="285">
        <f t="shared" si="78"/>
        <v>0.61760752688172049</v>
      </c>
      <c r="CK94" s="285">
        <f t="shared" si="78"/>
        <v>0.61760752688172049</v>
      </c>
      <c r="CL94" s="285">
        <f t="shared" si="78"/>
        <v>0.61760752688172049</v>
      </c>
      <c r="CM94" s="285">
        <f t="shared" si="78"/>
        <v>0.61760752688172049</v>
      </c>
      <c r="CN94" s="285">
        <f t="shared" si="78"/>
        <v>0.61760752688172049</v>
      </c>
      <c r="CO94" s="285">
        <f t="shared" si="78"/>
        <v>0.61760752688172049</v>
      </c>
      <c r="CP94" s="285">
        <f t="shared" si="78"/>
        <v>0.61760752688172049</v>
      </c>
      <c r="CQ94" s="285">
        <f t="shared" si="78"/>
        <v>0.61760752688172049</v>
      </c>
      <c r="CR94" s="285">
        <f t="shared" si="78"/>
        <v>0.61760752688172049</v>
      </c>
      <c r="CS94" s="285">
        <f t="shared" si="78"/>
        <v>0.61760752688172049</v>
      </c>
      <c r="CT94" s="285">
        <f t="shared" si="78"/>
        <v>0.61760752688172049</v>
      </c>
      <c r="CU94" s="285">
        <f t="shared" si="78"/>
        <v>0.61760752688172049</v>
      </c>
      <c r="CV94" s="285">
        <f t="shared" si="78"/>
        <v>0.61760752688172049</v>
      </c>
      <c r="CW94" s="285">
        <f t="shared" si="78"/>
        <v>0.61760752688172049</v>
      </c>
      <c r="CX94" s="285">
        <f t="shared" si="78"/>
        <v>0.61760752688172049</v>
      </c>
      <c r="CY94" s="285">
        <f t="shared" si="78"/>
        <v>0.61760752688172049</v>
      </c>
      <c r="CZ94" s="285">
        <f t="shared" si="78"/>
        <v>0.61760752688172049</v>
      </c>
      <c r="DA94" s="285">
        <f t="shared" si="78"/>
        <v>0.61760752688172049</v>
      </c>
      <c r="DB94" s="285">
        <f t="shared" si="78"/>
        <v>0.61760752688172049</v>
      </c>
      <c r="DC94" s="285">
        <f t="shared" si="78"/>
        <v>0.61760752688172049</v>
      </c>
      <c r="DD94" s="285">
        <f t="shared" si="78"/>
        <v>0.61760752688172049</v>
      </c>
      <c r="DE94" s="285">
        <f t="shared" si="78"/>
        <v>0.61760752688172049</v>
      </c>
      <c r="DF94" s="285">
        <f t="shared" si="78"/>
        <v>0.61760752688172049</v>
      </c>
      <c r="DG94" s="285">
        <f t="shared" si="78"/>
        <v>0.61760752688172049</v>
      </c>
      <c r="DH94" s="285">
        <f t="shared" si="78"/>
        <v>0.61760752688172049</v>
      </c>
      <c r="DI94" s="285">
        <f t="shared" si="78"/>
        <v>0.61760752688172049</v>
      </c>
      <c r="DJ94" s="285">
        <f t="shared" si="78"/>
        <v>0.61760752688172049</v>
      </c>
      <c r="DK94" s="285">
        <f t="shared" si="78"/>
        <v>0.61760752688172049</v>
      </c>
      <c r="DL94" s="285">
        <f t="shared" si="78"/>
        <v>0.61760752688172049</v>
      </c>
      <c r="DM94" s="285">
        <f t="shared" si="78"/>
        <v>0.61760752688172049</v>
      </c>
      <c r="DN94" s="285">
        <f t="shared" si="78"/>
        <v>0.61760752688172049</v>
      </c>
      <c r="DO94" s="285">
        <f t="shared" si="78"/>
        <v>0.61760752688172049</v>
      </c>
      <c r="DP94" s="285">
        <f t="shared" si="78"/>
        <v>0.61760752688172049</v>
      </c>
      <c r="DQ94" s="285">
        <f t="shared" si="78"/>
        <v>0.61760752688172049</v>
      </c>
      <c r="DR94" s="285">
        <f t="shared" si="78"/>
        <v>0.61760752688172049</v>
      </c>
      <c r="DS94" s="285">
        <f t="shared" si="78"/>
        <v>0.61760752688172049</v>
      </c>
      <c r="DT94" s="285">
        <f t="shared" si="78"/>
        <v>0.61760752688172049</v>
      </c>
      <c r="DU94" s="285">
        <f t="shared" si="78"/>
        <v>0.61760752688172049</v>
      </c>
    </row>
    <row r="95" spans="1:125">
      <c r="A95" s="55"/>
      <c r="B95" s="277" t="str">
        <f t="shared" si="72"/>
        <v>Редукторный сверлильный станок с крестовым столом JMD-40PFCT</v>
      </c>
      <c r="C95" s="370">
        <f>E44-E44*Исх.данные!$B$21</f>
        <v>292.5</v>
      </c>
      <c r="D95" s="383"/>
      <c r="E95" s="305">
        <v>31</v>
      </c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>
        <f>$C$95/$E$95/12</f>
        <v>0.78629032258064513</v>
      </c>
      <c r="Q95" s="285">
        <f t="shared" ref="Q95:CB95" si="79">$C$95/$E$95/12</f>
        <v>0.78629032258064513</v>
      </c>
      <c r="R95" s="285">
        <f t="shared" si="79"/>
        <v>0.78629032258064513</v>
      </c>
      <c r="S95" s="285">
        <f t="shared" si="79"/>
        <v>0.78629032258064513</v>
      </c>
      <c r="T95" s="285">
        <f t="shared" si="79"/>
        <v>0.78629032258064513</v>
      </c>
      <c r="U95" s="285">
        <f t="shared" si="79"/>
        <v>0.78629032258064513</v>
      </c>
      <c r="V95" s="285">
        <f t="shared" si="79"/>
        <v>0.78629032258064513</v>
      </c>
      <c r="W95" s="285">
        <f t="shared" si="79"/>
        <v>0.78629032258064513</v>
      </c>
      <c r="X95" s="285">
        <f t="shared" si="79"/>
        <v>0.78629032258064513</v>
      </c>
      <c r="Y95" s="285">
        <f t="shared" si="79"/>
        <v>0.78629032258064513</v>
      </c>
      <c r="Z95" s="285">
        <f t="shared" si="79"/>
        <v>0.78629032258064513</v>
      </c>
      <c r="AA95" s="285">
        <f t="shared" si="79"/>
        <v>0.78629032258064513</v>
      </c>
      <c r="AB95" s="285">
        <f t="shared" si="79"/>
        <v>0.78629032258064513</v>
      </c>
      <c r="AC95" s="285">
        <f t="shared" si="79"/>
        <v>0.78629032258064513</v>
      </c>
      <c r="AD95" s="285">
        <f t="shared" si="79"/>
        <v>0.78629032258064513</v>
      </c>
      <c r="AE95" s="285">
        <f t="shared" si="79"/>
        <v>0.78629032258064513</v>
      </c>
      <c r="AF95" s="285">
        <f t="shared" si="79"/>
        <v>0.78629032258064513</v>
      </c>
      <c r="AG95" s="285">
        <f t="shared" si="79"/>
        <v>0.78629032258064513</v>
      </c>
      <c r="AH95" s="285">
        <f t="shared" si="79"/>
        <v>0.78629032258064513</v>
      </c>
      <c r="AI95" s="285">
        <f t="shared" si="79"/>
        <v>0.78629032258064513</v>
      </c>
      <c r="AJ95" s="285">
        <f t="shared" si="79"/>
        <v>0.78629032258064513</v>
      </c>
      <c r="AK95" s="285">
        <f t="shared" si="79"/>
        <v>0.78629032258064513</v>
      </c>
      <c r="AL95" s="285">
        <f t="shared" si="79"/>
        <v>0.78629032258064513</v>
      </c>
      <c r="AM95" s="285">
        <f t="shared" si="79"/>
        <v>0.78629032258064513</v>
      </c>
      <c r="AN95" s="285">
        <f t="shared" si="79"/>
        <v>0.78629032258064513</v>
      </c>
      <c r="AO95" s="285">
        <f t="shared" si="79"/>
        <v>0.78629032258064513</v>
      </c>
      <c r="AP95" s="285">
        <f t="shared" si="79"/>
        <v>0.78629032258064513</v>
      </c>
      <c r="AQ95" s="285">
        <f t="shared" si="79"/>
        <v>0.78629032258064513</v>
      </c>
      <c r="AR95" s="285">
        <f t="shared" si="79"/>
        <v>0.78629032258064513</v>
      </c>
      <c r="AS95" s="285">
        <f t="shared" si="79"/>
        <v>0.78629032258064513</v>
      </c>
      <c r="AT95" s="285">
        <f t="shared" si="79"/>
        <v>0.78629032258064513</v>
      </c>
      <c r="AU95" s="285">
        <f t="shared" si="79"/>
        <v>0.78629032258064513</v>
      </c>
      <c r="AV95" s="285">
        <f t="shared" si="79"/>
        <v>0.78629032258064513</v>
      </c>
      <c r="AW95" s="285">
        <f t="shared" si="79"/>
        <v>0.78629032258064513</v>
      </c>
      <c r="AX95" s="285">
        <f t="shared" si="79"/>
        <v>0.78629032258064513</v>
      </c>
      <c r="AY95" s="285">
        <f t="shared" si="79"/>
        <v>0.78629032258064513</v>
      </c>
      <c r="AZ95" s="285">
        <f t="shared" si="79"/>
        <v>0.78629032258064513</v>
      </c>
      <c r="BA95" s="285">
        <f t="shared" si="79"/>
        <v>0.78629032258064513</v>
      </c>
      <c r="BB95" s="285">
        <f t="shared" si="79"/>
        <v>0.78629032258064513</v>
      </c>
      <c r="BC95" s="285">
        <f t="shared" si="79"/>
        <v>0.78629032258064513</v>
      </c>
      <c r="BD95" s="285">
        <f t="shared" si="79"/>
        <v>0.78629032258064513</v>
      </c>
      <c r="BE95" s="285">
        <f t="shared" si="79"/>
        <v>0.78629032258064513</v>
      </c>
      <c r="BF95" s="285">
        <f t="shared" si="79"/>
        <v>0.78629032258064513</v>
      </c>
      <c r="BG95" s="285">
        <f t="shared" si="79"/>
        <v>0.78629032258064513</v>
      </c>
      <c r="BH95" s="285">
        <f t="shared" si="79"/>
        <v>0.78629032258064513</v>
      </c>
      <c r="BI95" s="285">
        <f t="shared" si="79"/>
        <v>0.78629032258064513</v>
      </c>
      <c r="BJ95" s="285">
        <f t="shared" si="79"/>
        <v>0.78629032258064513</v>
      </c>
      <c r="BK95" s="285">
        <f t="shared" si="79"/>
        <v>0.78629032258064513</v>
      </c>
      <c r="BL95" s="285">
        <f t="shared" si="79"/>
        <v>0.78629032258064513</v>
      </c>
      <c r="BM95" s="285">
        <f t="shared" si="79"/>
        <v>0.78629032258064513</v>
      </c>
      <c r="BN95" s="285">
        <f t="shared" si="79"/>
        <v>0.78629032258064513</v>
      </c>
      <c r="BO95" s="285">
        <f t="shared" si="79"/>
        <v>0.78629032258064513</v>
      </c>
      <c r="BP95" s="285">
        <f t="shared" si="79"/>
        <v>0.78629032258064513</v>
      </c>
      <c r="BQ95" s="285">
        <f t="shared" si="79"/>
        <v>0.78629032258064513</v>
      </c>
      <c r="BR95" s="285">
        <f t="shared" si="79"/>
        <v>0.78629032258064513</v>
      </c>
      <c r="BS95" s="285">
        <f t="shared" si="79"/>
        <v>0.78629032258064513</v>
      </c>
      <c r="BT95" s="285">
        <f t="shared" si="79"/>
        <v>0.78629032258064513</v>
      </c>
      <c r="BU95" s="285">
        <f t="shared" si="79"/>
        <v>0.78629032258064513</v>
      </c>
      <c r="BV95" s="285">
        <f t="shared" si="79"/>
        <v>0.78629032258064513</v>
      </c>
      <c r="BW95" s="285">
        <f t="shared" si="79"/>
        <v>0.78629032258064513</v>
      </c>
      <c r="BX95" s="285">
        <f t="shared" si="79"/>
        <v>0.78629032258064513</v>
      </c>
      <c r="BY95" s="285">
        <f t="shared" si="79"/>
        <v>0.78629032258064513</v>
      </c>
      <c r="BZ95" s="285">
        <f t="shared" si="79"/>
        <v>0.78629032258064513</v>
      </c>
      <c r="CA95" s="285">
        <f t="shared" si="79"/>
        <v>0.78629032258064513</v>
      </c>
      <c r="CB95" s="285">
        <f t="shared" si="79"/>
        <v>0.78629032258064513</v>
      </c>
      <c r="CC95" s="285">
        <f t="shared" ref="CC95:DU95" si="80">$C$95/$E$95/12</f>
        <v>0.78629032258064513</v>
      </c>
      <c r="CD95" s="285">
        <f t="shared" si="80"/>
        <v>0.78629032258064513</v>
      </c>
      <c r="CE95" s="285">
        <f t="shared" si="80"/>
        <v>0.78629032258064513</v>
      </c>
      <c r="CF95" s="285">
        <f t="shared" si="80"/>
        <v>0.78629032258064513</v>
      </c>
      <c r="CG95" s="285">
        <f t="shared" si="80"/>
        <v>0.78629032258064513</v>
      </c>
      <c r="CH95" s="285">
        <f t="shared" si="80"/>
        <v>0.78629032258064513</v>
      </c>
      <c r="CI95" s="285">
        <f t="shared" si="80"/>
        <v>0.78629032258064513</v>
      </c>
      <c r="CJ95" s="285">
        <f t="shared" si="80"/>
        <v>0.78629032258064513</v>
      </c>
      <c r="CK95" s="285">
        <f t="shared" si="80"/>
        <v>0.78629032258064513</v>
      </c>
      <c r="CL95" s="285">
        <f t="shared" si="80"/>
        <v>0.78629032258064513</v>
      </c>
      <c r="CM95" s="285">
        <f t="shared" si="80"/>
        <v>0.78629032258064513</v>
      </c>
      <c r="CN95" s="285">
        <f t="shared" si="80"/>
        <v>0.78629032258064513</v>
      </c>
      <c r="CO95" s="285">
        <f t="shared" si="80"/>
        <v>0.78629032258064513</v>
      </c>
      <c r="CP95" s="285">
        <f t="shared" si="80"/>
        <v>0.78629032258064513</v>
      </c>
      <c r="CQ95" s="285">
        <f t="shared" si="80"/>
        <v>0.78629032258064513</v>
      </c>
      <c r="CR95" s="285">
        <f t="shared" si="80"/>
        <v>0.78629032258064513</v>
      </c>
      <c r="CS95" s="285">
        <f t="shared" si="80"/>
        <v>0.78629032258064513</v>
      </c>
      <c r="CT95" s="285">
        <f t="shared" si="80"/>
        <v>0.78629032258064513</v>
      </c>
      <c r="CU95" s="285">
        <f t="shared" si="80"/>
        <v>0.78629032258064513</v>
      </c>
      <c r="CV95" s="285">
        <f t="shared" si="80"/>
        <v>0.78629032258064513</v>
      </c>
      <c r="CW95" s="285">
        <f t="shared" si="80"/>
        <v>0.78629032258064513</v>
      </c>
      <c r="CX95" s="285">
        <f t="shared" si="80"/>
        <v>0.78629032258064513</v>
      </c>
      <c r="CY95" s="285">
        <f t="shared" si="80"/>
        <v>0.78629032258064513</v>
      </c>
      <c r="CZ95" s="285">
        <f t="shared" si="80"/>
        <v>0.78629032258064513</v>
      </c>
      <c r="DA95" s="285">
        <f t="shared" si="80"/>
        <v>0.78629032258064513</v>
      </c>
      <c r="DB95" s="285">
        <f t="shared" si="80"/>
        <v>0.78629032258064513</v>
      </c>
      <c r="DC95" s="285">
        <f t="shared" si="80"/>
        <v>0.78629032258064513</v>
      </c>
      <c r="DD95" s="285">
        <f t="shared" si="80"/>
        <v>0.78629032258064513</v>
      </c>
      <c r="DE95" s="285">
        <f t="shared" si="80"/>
        <v>0.78629032258064513</v>
      </c>
      <c r="DF95" s="285">
        <f t="shared" si="80"/>
        <v>0.78629032258064513</v>
      </c>
      <c r="DG95" s="285">
        <f t="shared" si="80"/>
        <v>0.78629032258064513</v>
      </c>
      <c r="DH95" s="285">
        <f t="shared" si="80"/>
        <v>0.78629032258064513</v>
      </c>
      <c r="DI95" s="285">
        <f t="shared" si="80"/>
        <v>0.78629032258064513</v>
      </c>
      <c r="DJ95" s="285">
        <f t="shared" si="80"/>
        <v>0.78629032258064513</v>
      </c>
      <c r="DK95" s="285">
        <f t="shared" si="80"/>
        <v>0.78629032258064513</v>
      </c>
      <c r="DL95" s="285">
        <f t="shared" si="80"/>
        <v>0.78629032258064513</v>
      </c>
      <c r="DM95" s="285">
        <f t="shared" si="80"/>
        <v>0.78629032258064513</v>
      </c>
      <c r="DN95" s="285">
        <f t="shared" si="80"/>
        <v>0.78629032258064513</v>
      </c>
      <c r="DO95" s="285">
        <f t="shared" si="80"/>
        <v>0.78629032258064513</v>
      </c>
      <c r="DP95" s="285">
        <f t="shared" si="80"/>
        <v>0.78629032258064513</v>
      </c>
      <c r="DQ95" s="285">
        <f t="shared" si="80"/>
        <v>0.78629032258064513</v>
      </c>
      <c r="DR95" s="285">
        <f t="shared" si="80"/>
        <v>0.78629032258064513</v>
      </c>
      <c r="DS95" s="285">
        <f t="shared" si="80"/>
        <v>0.78629032258064513</v>
      </c>
      <c r="DT95" s="285">
        <f t="shared" si="80"/>
        <v>0.78629032258064513</v>
      </c>
      <c r="DU95" s="285">
        <f t="shared" si="80"/>
        <v>0.78629032258064513</v>
      </c>
    </row>
    <row r="96" spans="1:125">
      <c r="A96" s="55"/>
      <c r="B96" s="277" t="str">
        <f t="shared" si="72"/>
        <v>Резьбонарезной манипулятор EMT-16+ (c подачей СОЖ)</v>
      </c>
      <c r="C96" s="370">
        <f>E45-E45*Исх.данные!$B$21</f>
        <v>95</v>
      </c>
      <c r="D96" s="383"/>
      <c r="E96" s="305">
        <v>31</v>
      </c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>
        <f>$C$96/$E$96/12</f>
        <v>0.2553763440860215</v>
      </c>
      <c r="Q96" s="285">
        <f t="shared" ref="Q96:CB96" si="81">$C$96/$E$96/12</f>
        <v>0.2553763440860215</v>
      </c>
      <c r="R96" s="285">
        <f t="shared" si="81"/>
        <v>0.2553763440860215</v>
      </c>
      <c r="S96" s="285">
        <f t="shared" si="81"/>
        <v>0.2553763440860215</v>
      </c>
      <c r="T96" s="285">
        <f t="shared" si="81"/>
        <v>0.2553763440860215</v>
      </c>
      <c r="U96" s="285">
        <f t="shared" si="81"/>
        <v>0.2553763440860215</v>
      </c>
      <c r="V96" s="285">
        <f t="shared" si="81"/>
        <v>0.2553763440860215</v>
      </c>
      <c r="W96" s="285">
        <f t="shared" si="81"/>
        <v>0.2553763440860215</v>
      </c>
      <c r="X96" s="285">
        <f t="shared" si="81"/>
        <v>0.2553763440860215</v>
      </c>
      <c r="Y96" s="285">
        <f t="shared" si="81"/>
        <v>0.2553763440860215</v>
      </c>
      <c r="Z96" s="285">
        <f t="shared" si="81"/>
        <v>0.2553763440860215</v>
      </c>
      <c r="AA96" s="285">
        <f t="shared" si="81"/>
        <v>0.2553763440860215</v>
      </c>
      <c r="AB96" s="285">
        <f t="shared" si="81"/>
        <v>0.2553763440860215</v>
      </c>
      <c r="AC96" s="285">
        <f t="shared" si="81"/>
        <v>0.2553763440860215</v>
      </c>
      <c r="AD96" s="285">
        <f t="shared" si="81"/>
        <v>0.2553763440860215</v>
      </c>
      <c r="AE96" s="285">
        <f t="shared" si="81"/>
        <v>0.2553763440860215</v>
      </c>
      <c r="AF96" s="285">
        <f t="shared" si="81"/>
        <v>0.2553763440860215</v>
      </c>
      <c r="AG96" s="285">
        <f t="shared" si="81"/>
        <v>0.2553763440860215</v>
      </c>
      <c r="AH96" s="285">
        <f t="shared" si="81"/>
        <v>0.2553763440860215</v>
      </c>
      <c r="AI96" s="285">
        <f t="shared" si="81"/>
        <v>0.2553763440860215</v>
      </c>
      <c r="AJ96" s="285">
        <f t="shared" si="81"/>
        <v>0.2553763440860215</v>
      </c>
      <c r="AK96" s="285">
        <f t="shared" si="81"/>
        <v>0.2553763440860215</v>
      </c>
      <c r="AL96" s="285">
        <f t="shared" si="81"/>
        <v>0.2553763440860215</v>
      </c>
      <c r="AM96" s="285">
        <f t="shared" si="81"/>
        <v>0.2553763440860215</v>
      </c>
      <c r="AN96" s="285">
        <f t="shared" si="81"/>
        <v>0.2553763440860215</v>
      </c>
      <c r="AO96" s="285">
        <f t="shared" si="81"/>
        <v>0.2553763440860215</v>
      </c>
      <c r="AP96" s="285">
        <f t="shared" si="81"/>
        <v>0.2553763440860215</v>
      </c>
      <c r="AQ96" s="285">
        <f t="shared" si="81"/>
        <v>0.2553763440860215</v>
      </c>
      <c r="AR96" s="285">
        <f t="shared" si="81"/>
        <v>0.2553763440860215</v>
      </c>
      <c r="AS96" s="285">
        <f t="shared" si="81"/>
        <v>0.2553763440860215</v>
      </c>
      <c r="AT96" s="285">
        <f t="shared" si="81"/>
        <v>0.2553763440860215</v>
      </c>
      <c r="AU96" s="285">
        <f t="shared" si="81"/>
        <v>0.2553763440860215</v>
      </c>
      <c r="AV96" s="285">
        <f t="shared" si="81"/>
        <v>0.2553763440860215</v>
      </c>
      <c r="AW96" s="285">
        <f t="shared" si="81"/>
        <v>0.2553763440860215</v>
      </c>
      <c r="AX96" s="285">
        <f t="shared" si="81"/>
        <v>0.2553763440860215</v>
      </c>
      <c r="AY96" s="285">
        <f t="shared" si="81"/>
        <v>0.2553763440860215</v>
      </c>
      <c r="AZ96" s="285">
        <f t="shared" si="81"/>
        <v>0.2553763440860215</v>
      </c>
      <c r="BA96" s="285">
        <f t="shared" si="81"/>
        <v>0.2553763440860215</v>
      </c>
      <c r="BB96" s="285">
        <f t="shared" si="81"/>
        <v>0.2553763440860215</v>
      </c>
      <c r="BC96" s="285">
        <f t="shared" si="81"/>
        <v>0.2553763440860215</v>
      </c>
      <c r="BD96" s="285">
        <f t="shared" si="81"/>
        <v>0.2553763440860215</v>
      </c>
      <c r="BE96" s="285">
        <f t="shared" si="81"/>
        <v>0.2553763440860215</v>
      </c>
      <c r="BF96" s="285">
        <f t="shared" si="81"/>
        <v>0.2553763440860215</v>
      </c>
      <c r="BG96" s="285">
        <f t="shared" si="81"/>
        <v>0.2553763440860215</v>
      </c>
      <c r="BH96" s="285">
        <f t="shared" si="81"/>
        <v>0.2553763440860215</v>
      </c>
      <c r="BI96" s="285">
        <f t="shared" si="81"/>
        <v>0.2553763440860215</v>
      </c>
      <c r="BJ96" s="285">
        <f t="shared" si="81"/>
        <v>0.2553763440860215</v>
      </c>
      <c r="BK96" s="285">
        <f t="shared" si="81"/>
        <v>0.2553763440860215</v>
      </c>
      <c r="BL96" s="285">
        <f t="shared" si="81"/>
        <v>0.2553763440860215</v>
      </c>
      <c r="BM96" s="285">
        <f t="shared" si="81"/>
        <v>0.2553763440860215</v>
      </c>
      <c r="BN96" s="285">
        <f t="shared" si="81"/>
        <v>0.2553763440860215</v>
      </c>
      <c r="BO96" s="285">
        <f t="shared" si="81"/>
        <v>0.2553763440860215</v>
      </c>
      <c r="BP96" s="285">
        <f t="shared" si="81"/>
        <v>0.2553763440860215</v>
      </c>
      <c r="BQ96" s="285">
        <f t="shared" si="81"/>
        <v>0.2553763440860215</v>
      </c>
      <c r="BR96" s="285">
        <f t="shared" si="81"/>
        <v>0.2553763440860215</v>
      </c>
      <c r="BS96" s="285">
        <f t="shared" si="81"/>
        <v>0.2553763440860215</v>
      </c>
      <c r="BT96" s="285">
        <f t="shared" si="81"/>
        <v>0.2553763440860215</v>
      </c>
      <c r="BU96" s="285">
        <f t="shared" si="81"/>
        <v>0.2553763440860215</v>
      </c>
      <c r="BV96" s="285">
        <f t="shared" si="81"/>
        <v>0.2553763440860215</v>
      </c>
      <c r="BW96" s="285">
        <f t="shared" si="81"/>
        <v>0.2553763440860215</v>
      </c>
      <c r="BX96" s="285">
        <f t="shared" si="81"/>
        <v>0.2553763440860215</v>
      </c>
      <c r="BY96" s="285">
        <f t="shared" si="81"/>
        <v>0.2553763440860215</v>
      </c>
      <c r="BZ96" s="285">
        <f t="shared" si="81"/>
        <v>0.2553763440860215</v>
      </c>
      <c r="CA96" s="285">
        <f t="shared" si="81"/>
        <v>0.2553763440860215</v>
      </c>
      <c r="CB96" s="285">
        <f t="shared" si="81"/>
        <v>0.2553763440860215</v>
      </c>
      <c r="CC96" s="285">
        <f t="shared" ref="CC96:DU96" si="82">$C$96/$E$96/12</f>
        <v>0.2553763440860215</v>
      </c>
      <c r="CD96" s="285">
        <f t="shared" si="82"/>
        <v>0.2553763440860215</v>
      </c>
      <c r="CE96" s="285">
        <f t="shared" si="82"/>
        <v>0.2553763440860215</v>
      </c>
      <c r="CF96" s="285">
        <f t="shared" si="82"/>
        <v>0.2553763440860215</v>
      </c>
      <c r="CG96" s="285">
        <f t="shared" si="82"/>
        <v>0.2553763440860215</v>
      </c>
      <c r="CH96" s="285">
        <f t="shared" si="82"/>
        <v>0.2553763440860215</v>
      </c>
      <c r="CI96" s="285">
        <f t="shared" si="82"/>
        <v>0.2553763440860215</v>
      </c>
      <c r="CJ96" s="285">
        <f t="shared" si="82"/>
        <v>0.2553763440860215</v>
      </c>
      <c r="CK96" s="285">
        <f t="shared" si="82"/>
        <v>0.2553763440860215</v>
      </c>
      <c r="CL96" s="285">
        <f t="shared" si="82"/>
        <v>0.2553763440860215</v>
      </c>
      <c r="CM96" s="285">
        <f t="shared" si="82"/>
        <v>0.2553763440860215</v>
      </c>
      <c r="CN96" s="285">
        <f t="shared" si="82"/>
        <v>0.2553763440860215</v>
      </c>
      <c r="CO96" s="285">
        <f t="shared" si="82"/>
        <v>0.2553763440860215</v>
      </c>
      <c r="CP96" s="285">
        <f t="shared" si="82"/>
        <v>0.2553763440860215</v>
      </c>
      <c r="CQ96" s="285">
        <f t="shared" si="82"/>
        <v>0.2553763440860215</v>
      </c>
      <c r="CR96" s="285">
        <f t="shared" si="82"/>
        <v>0.2553763440860215</v>
      </c>
      <c r="CS96" s="285">
        <f t="shared" si="82"/>
        <v>0.2553763440860215</v>
      </c>
      <c r="CT96" s="285">
        <f t="shared" si="82"/>
        <v>0.2553763440860215</v>
      </c>
      <c r="CU96" s="285">
        <f t="shared" si="82"/>
        <v>0.2553763440860215</v>
      </c>
      <c r="CV96" s="285">
        <f t="shared" si="82"/>
        <v>0.2553763440860215</v>
      </c>
      <c r="CW96" s="285">
        <f t="shared" si="82"/>
        <v>0.2553763440860215</v>
      </c>
      <c r="CX96" s="285">
        <f t="shared" si="82"/>
        <v>0.2553763440860215</v>
      </c>
      <c r="CY96" s="285">
        <f t="shared" si="82"/>
        <v>0.2553763440860215</v>
      </c>
      <c r="CZ96" s="285">
        <f t="shared" si="82"/>
        <v>0.2553763440860215</v>
      </c>
      <c r="DA96" s="285">
        <f t="shared" si="82"/>
        <v>0.2553763440860215</v>
      </c>
      <c r="DB96" s="285">
        <f t="shared" si="82"/>
        <v>0.2553763440860215</v>
      </c>
      <c r="DC96" s="285">
        <f t="shared" si="82"/>
        <v>0.2553763440860215</v>
      </c>
      <c r="DD96" s="285">
        <f t="shared" si="82"/>
        <v>0.2553763440860215</v>
      </c>
      <c r="DE96" s="285">
        <f t="shared" si="82"/>
        <v>0.2553763440860215</v>
      </c>
      <c r="DF96" s="285">
        <f t="shared" si="82"/>
        <v>0.2553763440860215</v>
      </c>
      <c r="DG96" s="285">
        <f t="shared" si="82"/>
        <v>0.2553763440860215</v>
      </c>
      <c r="DH96" s="285">
        <f t="shared" si="82"/>
        <v>0.2553763440860215</v>
      </c>
      <c r="DI96" s="285">
        <f t="shared" si="82"/>
        <v>0.2553763440860215</v>
      </c>
      <c r="DJ96" s="285">
        <f t="shared" si="82"/>
        <v>0.2553763440860215</v>
      </c>
      <c r="DK96" s="285">
        <f t="shared" si="82"/>
        <v>0.2553763440860215</v>
      </c>
      <c r="DL96" s="285">
        <f t="shared" si="82"/>
        <v>0.2553763440860215</v>
      </c>
      <c r="DM96" s="285">
        <f t="shared" si="82"/>
        <v>0.2553763440860215</v>
      </c>
      <c r="DN96" s="285">
        <f t="shared" si="82"/>
        <v>0.2553763440860215</v>
      </c>
      <c r="DO96" s="285">
        <f t="shared" si="82"/>
        <v>0.2553763440860215</v>
      </c>
      <c r="DP96" s="285">
        <f t="shared" si="82"/>
        <v>0.2553763440860215</v>
      </c>
      <c r="DQ96" s="285">
        <f t="shared" si="82"/>
        <v>0.2553763440860215</v>
      </c>
      <c r="DR96" s="285">
        <f t="shared" si="82"/>
        <v>0.2553763440860215</v>
      </c>
      <c r="DS96" s="285">
        <f t="shared" si="82"/>
        <v>0.2553763440860215</v>
      </c>
      <c r="DT96" s="285">
        <f t="shared" si="82"/>
        <v>0.2553763440860215</v>
      </c>
      <c r="DU96" s="285">
        <f t="shared" si="82"/>
        <v>0.2553763440860215</v>
      </c>
    </row>
    <row r="97" spans="1:125">
      <c r="A97" s="55"/>
      <c r="B97" s="277" t="str">
        <f t="shared" si="72"/>
        <v>Труборез LX62TE 3000W</v>
      </c>
      <c r="C97" s="370">
        <f>E46-E46*Исх.данные!$B$21</f>
        <v>5084.1666666666661</v>
      </c>
      <c r="D97" s="383"/>
      <c r="E97" s="305">
        <v>31</v>
      </c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>
        <f>$C$97/$E$97/12</f>
        <v>13.6671146953405</v>
      </c>
      <c r="Q97" s="285">
        <f t="shared" ref="Q97:CB97" si="83">$C$97/$E$97/12</f>
        <v>13.6671146953405</v>
      </c>
      <c r="R97" s="285">
        <f t="shared" si="83"/>
        <v>13.6671146953405</v>
      </c>
      <c r="S97" s="285">
        <f t="shared" si="83"/>
        <v>13.6671146953405</v>
      </c>
      <c r="T97" s="285">
        <f t="shared" si="83"/>
        <v>13.6671146953405</v>
      </c>
      <c r="U97" s="285">
        <f t="shared" si="83"/>
        <v>13.6671146953405</v>
      </c>
      <c r="V97" s="285">
        <f t="shared" si="83"/>
        <v>13.6671146953405</v>
      </c>
      <c r="W97" s="285">
        <f t="shared" si="83"/>
        <v>13.6671146953405</v>
      </c>
      <c r="X97" s="285">
        <f t="shared" si="83"/>
        <v>13.6671146953405</v>
      </c>
      <c r="Y97" s="285">
        <f t="shared" si="83"/>
        <v>13.6671146953405</v>
      </c>
      <c r="Z97" s="285">
        <f t="shared" si="83"/>
        <v>13.6671146953405</v>
      </c>
      <c r="AA97" s="285">
        <f t="shared" si="83"/>
        <v>13.6671146953405</v>
      </c>
      <c r="AB97" s="285">
        <f t="shared" si="83"/>
        <v>13.6671146953405</v>
      </c>
      <c r="AC97" s="285">
        <f t="shared" si="83"/>
        <v>13.6671146953405</v>
      </c>
      <c r="AD97" s="285">
        <f t="shared" si="83"/>
        <v>13.6671146953405</v>
      </c>
      <c r="AE97" s="285">
        <f t="shared" si="83"/>
        <v>13.6671146953405</v>
      </c>
      <c r="AF97" s="285">
        <f t="shared" si="83"/>
        <v>13.6671146953405</v>
      </c>
      <c r="AG97" s="285">
        <f t="shared" si="83"/>
        <v>13.6671146953405</v>
      </c>
      <c r="AH97" s="285">
        <f t="shared" si="83"/>
        <v>13.6671146953405</v>
      </c>
      <c r="AI97" s="285">
        <f t="shared" si="83"/>
        <v>13.6671146953405</v>
      </c>
      <c r="AJ97" s="285">
        <f t="shared" si="83"/>
        <v>13.6671146953405</v>
      </c>
      <c r="AK97" s="285">
        <f t="shared" si="83"/>
        <v>13.6671146953405</v>
      </c>
      <c r="AL97" s="285">
        <f t="shared" si="83"/>
        <v>13.6671146953405</v>
      </c>
      <c r="AM97" s="285">
        <f t="shared" si="83"/>
        <v>13.6671146953405</v>
      </c>
      <c r="AN97" s="285">
        <f t="shared" si="83"/>
        <v>13.6671146953405</v>
      </c>
      <c r="AO97" s="285">
        <f t="shared" si="83"/>
        <v>13.6671146953405</v>
      </c>
      <c r="AP97" s="285">
        <f t="shared" si="83"/>
        <v>13.6671146953405</v>
      </c>
      <c r="AQ97" s="285">
        <f t="shared" si="83"/>
        <v>13.6671146953405</v>
      </c>
      <c r="AR97" s="285">
        <f t="shared" si="83"/>
        <v>13.6671146953405</v>
      </c>
      <c r="AS97" s="285">
        <f t="shared" si="83"/>
        <v>13.6671146953405</v>
      </c>
      <c r="AT97" s="285">
        <f t="shared" si="83"/>
        <v>13.6671146953405</v>
      </c>
      <c r="AU97" s="285">
        <f t="shared" si="83"/>
        <v>13.6671146953405</v>
      </c>
      <c r="AV97" s="285">
        <f t="shared" si="83"/>
        <v>13.6671146953405</v>
      </c>
      <c r="AW97" s="285">
        <f t="shared" si="83"/>
        <v>13.6671146953405</v>
      </c>
      <c r="AX97" s="285">
        <f t="shared" si="83"/>
        <v>13.6671146953405</v>
      </c>
      <c r="AY97" s="285">
        <f t="shared" si="83"/>
        <v>13.6671146953405</v>
      </c>
      <c r="AZ97" s="285">
        <f t="shared" si="83"/>
        <v>13.6671146953405</v>
      </c>
      <c r="BA97" s="285">
        <f t="shared" si="83"/>
        <v>13.6671146953405</v>
      </c>
      <c r="BB97" s="285">
        <f t="shared" si="83"/>
        <v>13.6671146953405</v>
      </c>
      <c r="BC97" s="285">
        <f t="shared" si="83"/>
        <v>13.6671146953405</v>
      </c>
      <c r="BD97" s="285">
        <f t="shared" si="83"/>
        <v>13.6671146953405</v>
      </c>
      <c r="BE97" s="285">
        <f t="shared" si="83"/>
        <v>13.6671146953405</v>
      </c>
      <c r="BF97" s="285">
        <f t="shared" si="83"/>
        <v>13.6671146953405</v>
      </c>
      <c r="BG97" s="285">
        <f t="shared" si="83"/>
        <v>13.6671146953405</v>
      </c>
      <c r="BH97" s="285">
        <f t="shared" si="83"/>
        <v>13.6671146953405</v>
      </c>
      <c r="BI97" s="285">
        <f t="shared" si="83"/>
        <v>13.6671146953405</v>
      </c>
      <c r="BJ97" s="285">
        <f t="shared" si="83"/>
        <v>13.6671146953405</v>
      </c>
      <c r="BK97" s="285">
        <f t="shared" si="83"/>
        <v>13.6671146953405</v>
      </c>
      <c r="BL97" s="285">
        <f t="shared" si="83"/>
        <v>13.6671146953405</v>
      </c>
      <c r="BM97" s="285">
        <f t="shared" si="83"/>
        <v>13.6671146953405</v>
      </c>
      <c r="BN97" s="285">
        <f t="shared" si="83"/>
        <v>13.6671146953405</v>
      </c>
      <c r="BO97" s="285">
        <f t="shared" si="83"/>
        <v>13.6671146953405</v>
      </c>
      <c r="BP97" s="285">
        <f t="shared" si="83"/>
        <v>13.6671146953405</v>
      </c>
      <c r="BQ97" s="285">
        <f t="shared" si="83"/>
        <v>13.6671146953405</v>
      </c>
      <c r="BR97" s="285">
        <f t="shared" si="83"/>
        <v>13.6671146953405</v>
      </c>
      <c r="BS97" s="285">
        <f t="shared" si="83"/>
        <v>13.6671146953405</v>
      </c>
      <c r="BT97" s="285">
        <f t="shared" si="83"/>
        <v>13.6671146953405</v>
      </c>
      <c r="BU97" s="285">
        <f t="shared" si="83"/>
        <v>13.6671146953405</v>
      </c>
      <c r="BV97" s="285">
        <f t="shared" si="83"/>
        <v>13.6671146953405</v>
      </c>
      <c r="BW97" s="285">
        <f t="shared" si="83"/>
        <v>13.6671146953405</v>
      </c>
      <c r="BX97" s="285">
        <f t="shared" si="83"/>
        <v>13.6671146953405</v>
      </c>
      <c r="BY97" s="285">
        <f t="shared" si="83"/>
        <v>13.6671146953405</v>
      </c>
      <c r="BZ97" s="285">
        <f t="shared" si="83"/>
        <v>13.6671146953405</v>
      </c>
      <c r="CA97" s="285">
        <f t="shared" si="83"/>
        <v>13.6671146953405</v>
      </c>
      <c r="CB97" s="285">
        <f t="shared" si="83"/>
        <v>13.6671146953405</v>
      </c>
      <c r="CC97" s="285">
        <f t="shared" ref="CC97:DU97" si="84">$C$97/$E$97/12</f>
        <v>13.6671146953405</v>
      </c>
      <c r="CD97" s="285">
        <f t="shared" si="84"/>
        <v>13.6671146953405</v>
      </c>
      <c r="CE97" s="285">
        <f t="shared" si="84"/>
        <v>13.6671146953405</v>
      </c>
      <c r="CF97" s="285">
        <f t="shared" si="84"/>
        <v>13.6671146953405</v>
      </c>
      <c r="CG97" s="285">
        <f t="shared" si="84"/>
        <v>13.6671146953405</v>
      </c>
      <c r="CH97" s="285">
        <f t="shared" si="84"/>
        <v>13.6671146953405</v>
      </c>
      <c r="CI97" s="285">
        <f t="shared" si="84"/>
        <v>13.6671146953405</v>
      </c>
      <c r="CJ97" s="285">
        <f t="shared" si="84"/>
        <v>13.6671146953405</v>
      </c>
      <c r="CK97" s="285">
        <f t="shared" si="84"/>
        <v>13.6671146953405</v>
      </c>
      <c r="CL97" s="285">
        <f t="shared" si="84"/>
        <v>13.6671146953405</v>
      </c>
      <c r="CM97" s="285">
        <f t="shared" si="84"/>
        <v>13.6671146953405</v>
      </c>
      <c r="CN97" s="285">
        <f t="shared" si="84"/>
        <v>13.6671146953405</v>
      </c>
      <c r="CO97" s="285">
        <f t="shared" si="84"/>
        <v>13.6671146953405</v>
      </c>
      <c r="CP97" s="285">
        <f t="shared" si="84"/>
        <v>13.6671146953405</v>
      </c>
      <c r="CQ97" s="285">
        <f t="shared" si="84"/>
        <v>13.6671146953405</v>
      </c>
      <c r="CR97" s="285">
        <f t="shared" si="84"/>
        <v>13.6671146953405</v>
      </c>
      <c r="CS97" s="285">
        <f t="shared" si="84"/>
        <v>13.6671146953405</v>
      </c>
      <c r="CT97" s="285">
        <f t="shared" si="84"/>
        <v>13.6671146953405</v>
      </c>
      <c r="CU97" s="285">
        <f t="shared" si="84"/>
        <v>13.6671146953405</v>
      </c>
      <c r="CV97" s="285">
        <f t="shared" si="84"/>
        <v>13.6671146953405</v>
      </c>
      <c r="CW97" s="285">
        <f t="shared" si="84"/>
        <v>13.6671146953405</v>
      </c>
      <c r="CX97" s="285">
        <f t="shared" si="84"/>
        <v>13.6671146953405</v>
      </c>
      <c r="CY97" s="285">
        <f t="shared" si="84"/>
        <v>13.6671146953405</v>
      </c>
      <c r="CZ97" s="285">
        <f t="shared" si="84"/>
        <v>13.6671146953405</v>
      </c>
      <c r="DA97" s="285">
        <f t="shared" si="84"/>
        <v>13.6671146953405</v>
      </c>
      <c r="DB97" s="285">
        <f t="shared" si="84"/>
        <v>13.6671146953405</v>
      </c>
      <c r="DC97" s="285">
        <f t="shared" si="84"/>
        <v>13.6671146953405</v>
      </c>
      <c r="DD97" s="285">
        <f t="shared" si="84"/>
        <v>13.6671146953405</v>
      </c>
      <c r="DE97" s="285">
        <f t="shared" si="84"/>
        <v>13.6671146953405</v>
      </c>
      <c r="DF97" s="285">
        <f t="shared" si="84"/>
        <v>13.6671146953405</v>
      </c>
      <c r="DG97" s="285">
        <f t="shared" si="84"/>
        <v>13.6671146953405</v>
      </c>
      <c r="DH97" s="285">
        <f t="shared" si="84"/>
        <v>13.6671146953405</v>
      </c>
      <c r="DI97" s="285">
        <f t="shared" si="84"/>
        <v>13.6671146953405</v>
      </c>
      <c r="DJ97" s="285">
        <f t="shared" si="84"/>
        <v>13.6671146953405</v>
      </c>
      <c r="DK97" s="285">
        <f t="shared" si="84"/>
        <v>13.6671146953405</v>
      </c>
      <c r="DL97" s="285">
        <f t="shared" si="84"/>
        <v>13.6671146953405</v>
      </c>
      <c r="DM97" s="285">
        <f t="shared" si="84"/>
        <v>13.6671146953405</v>
      </c>
      <c r="DN97" s="285">
        <f t="shared" si="84"/>
        <v>13.6671146953405</v>
      </c>
      <c r="DO97" s="285">
        <f t="shared" si="84"/>
        <v>13.6671146953405</v>
      </c>
      <c r="DP97" s="285">
        <f t="shared" si="84"/>
        <v>13.6671146953405</v>
      </c>
      <c r="DQ97" s="285">
        <f t="shared" si="84"/>
        <v>13.6671146953405</v>
      </c>
      <c r="DR97" s="285">
        <f t="shared" si="84"/>
        <v>13.6671146953405</v>
      </c>
      <c r="DS97" s="285">
        <f t="shared" si="84"/>
        <v>13.6671146953405</v>
      </c>
      <c r="DT97" s="285">
        <f t="shared" si="84"/>
        <v>13.6671146953405</v>
      </c>
      <c r="DU97" s="285">
        <f t="shared" si="84"/>
        <v>13.6671146953405</v>
      </c>
    </row>
    <row r="98" spans="1:125">
      <c r="A98" s="55"/>
      <c r="B98" s="277" t="str">
        <f t="shared" si="72"/>
        <v xml:space="preserve">Установка лазерной резки GWEIKE LF3015GA 3 кВт </v>
      </c>
      <c r="C98" s="370">
        <f>E47-E47*Исх.данные!$B$21</f>
        <v>4625</v>
      </c>
      <c r="D98" s="383"/>
      <c r="E98" s="305">
        <v>31</v>
      </c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>
        <f>$C$98/$E$98/12</f>
        <v>12.43279569892473</v>
      </c>
      <c r="Q98" s="285">
        <f t="shared" ref="Q98:CB98" si="85">$C$98/$E$98/12</f>
        <v>12.43279569892473</v>
      </c>
      <c r="R98" s="285">
        <f t="shared" si="85"/>
        <v>12.43279569892473</v>
      </c>
      <c r="S98" s="285">
        <f t="shared" si="85"/>
        <v>12.43279569892473</v>
      </c>
      <c r="T98" s="285">
        <f t="shared" si="85"/>
        <v>12.43279569892473</v>
      </c>
      <c r="U98" s="285">
        <f t="shared" si="85"/>
        <v>12.43279569892473</v>
      </c>
      <c r="V98" s="285">
        <f t="shared" si="85"/>
        <v>12.43279569892473</v>
      </c>
      <c r="W98" s="285">
        <f t="shared" si="85"/>
        <v>12.43279569892473</v>
      </c>
      <c r="X98" s="285">
        <f t="shared" si="85"/>
        <v>12.43279569892473</v>
      </c>
      <c r="Y98" s="285">
        <f t="shared" si="85"/>
        <v>12.43279569892473</v>
      </c>
      <c r="Z98" s="285">
        <f t="shared" si="85"/>
        <v>12.43279569892473</v>
      </c>
      <c r="AA98" s="285">
        <f t="shared" si="85"/>
        <v>12.43279569892473</v>
      </c>
      <c r="AB98" s="285">
        <f t="shared" si="85"/>
        <v>12.43279569892473</v>
      </c>
      <c r="AC98" s="285">
        <f t="shared" si="85"/>
        <v>12.43279569892473</v>
      </c>
      <c r="AD98" s="285">
        <f t="shared" si="85"/>
        <v>12.43279569892473</v>
      </c>
      <c r="AE98" s="285">
        <f t="shared" si="85"/>
        <v>12.43279569892473</v>
      </c>
      <c r="AF98" s="285">
        <f t="shared" si="85"/>
        <v>12.43279569892473</v>
      </c>
      <c r="AG98" s="285">
        <f t="shared" si="85"/>
        <v>12.43279569892473</v>
      </c>
      <c r="AH98" s="285">
        <f t="shared" si="85"/>
        <v>12.43279569892473</v>
      </c>
      <c r="AI98" s="285">
        <f t="shared" si="85"/>
        <v>12.43279569892473</v>
      </c>
      <c r="AJ98" s="285">
        <f t="shared" si="85"/>
        <v>12.43279569892473</v>
      </c>
      <c r="AK98" s="285">
        <f t="shared" si="85"/>
        <v>12.43279569892473</v>
      </c>
      <c r="AL98" s="285">
        <f t="shared" si="85"/>
        <v>12.43279569892473</v>
      </c>
      <c r="AM98" s="285">
        <f t="shared" si="85"/>
        <v>12.43279569892473</v>
      </c>
      <c r="AN98" s="285">
        <f t="shared" si="85"/>
        <v>12.43279569892473</v>
      </c>
      <c r="AO98" s="285">
        <f t="shared" si="85"/>
        <v>12.43279569892473</v>
      </c>
      <c r="AP98" s="285">
        <f t="shared" si="85"/>
        <v>12.43279569892473</v>
      </c>
      <c r="AQ98" s="285">
        <f t="shared" si="85"/>
        <v>12.43279569892473</v>
      </c>
      <c r="AR98" s="285">
        <f t="shared" si="85"/>
        <v>12.43279569892473</v>
      </c>
      <c r="AS98" s="285">
        <f t="shared" si="85"/>
        <v>12.43279569892473</v>
      </c>
      <c r="AT98" s="285">
        <f t="shared" si="85"/>
        <v>12.43279569892473</v>
      </c>
      <c r="AU98" s="285">
        <f t="shared" si="85"/>
        <v>12.43279569892473</v>
      </c>
      <c r="AV98" s="285">
        <f t="shared" si="85"/>
        <v>12.43279569892473</v>
      </c>
      <c r="AW98" s="285">
        <f t="shared" si="85"/>
        <v>12.43279569892473</v>
      </c>
      <c r="AX98" s="285">
        <f t="shared" si="85"/>
        <v>12.43279569892473</v>
      </c>
      <c r="AY98" s="285">
        <f t="shared" si="85"/>
        <v>12.43279569892473</v>
      </c>
      <c r="AZ98" s="285">
        <f t="shared" si="85"/>
        <v>12.43279569892473</v>
      </c>
      <c r="BA98" s="285">
        <f t="shared" si="85"/>
        <v>12.43279569892473</v>
      </c>
      <c r="BB98" s="285">
        <f t="shared" si="85"/>
        <v>12.43279569892473</v>
      </c>
      <c r="BC98" s="285">
        <f t="shared" si="85"/>
        <v>12.43279569892473</v>
      </c>
      <c r="BD98" s="285">
        <f t="shared" si="85"/>
        <v>12.43279569892473</v>
      </c>
      <c r="BE98" s="285">
        <f t="shared" si="85"/>
        <v>12.43279569892473</v>
      </c>
      <c r="BF98" s="285">
        <f t="shared" si="85"/>
        <v>12.43279569892473</v>
      </c>
      <c r="BG98" s="285">
        <f t="shared" si="85"/>
        <v>12.43279569892473</v>
      </c>
      <c r="BH98" s="285">
        <f t="shared" si="85"/>
        <v>12.43279569892473</v>
      </c>
      <c r="BI98" s="285">
        <f t="shared" si="85"/>
        <v>12.43279569892473</v>
      </c>
      <c r="BJ98" s="285">
        <f t="shared" si="85"/>
        <v>12.43279569892473</v>
      </c>
      <c r="BK98" s="285">
        <f t="shared" si="85"/>
        <v>12.43279569892473</v>
      </c>
      <c r="BL98" s="285">
        <f t="shared" si="85"/>
        <v>12.43279569892473</v>
      </c>
      <c r="BM98" s="285">
        <f t="shared" si="85"/>
        <v>12.43279569892473</v>
      </c>
      <c r="BN98" s="285">
        <f t="shared" si="85"/>
        <v>12.43279569892473</v>
      </c>
      <c r="BO98" s="285">
        <f t="shared" si="85"/>
        <v>12.43279569892473</v>
      </c>
      <c r="BP98" s="285">
        <f t="shared" si="85"/>
        <v>12.43279569892473</v>
      </c>
      <c r="BQ98" s="285">
        <f t="shared" si="85"/>
        <v>12.43279569892473</v>
      </c>
      <c r="BR98" s="285">
        <f t="shared" si="85"/>
        <v>12.43279569892473</v>
      </c>
      <c r="BS98" s="285">
        <f t="shared" si="85"/>
        <v>12.43279569892473</v>
      </c>
      <c r="BT98" s="285">
        <f t="shared" si="85"/>
        <v>12.43279569892473</v>
      </c>
      <c r="BU98" s="285">
        <f t="shared" si="85"/>
        <v>12.43279569892473</v>
      </c>
      <c r="BV98" s="285">
        <f t="shared" si="85"/>
        <v>12.43279569892473</v>
      </c>
      <c r="BW98" s="285">
        <f t="shared" si="85"/>
        <v>12.43279569892473</v>
      </c>
      <c r="BX98" s="285">
        <f t="shared" si="85"/>
        <v>12.43279569892473</v>
      </c>
      <c r="BY98" s="285">
        <f t="shared" si="85"/>
        <v>12.43279569892473</v>
      </c>
      <c r="BZ98" s="285">
        <f t="shared" si="85"/>
        <v>12.43279569892473</v>
      </c>
      <c r="CA98" s="285">
        <f t="shared" si="85"/>
        <v>12.43279569892473</v>
      </c>
      <c r="CB98" s="285">
        <f t="shared" si="85"/>
        <v>12.43279569892473</v>
      </c>
      <c r="CC98" s="285">
        <f t="shared" ref="CC98:DU98" si="86">$C$98/$E$98/12</f>
        <v>12.43279569892473</v>
      </c>
      <c r="CD98" s="285">
        <f t="shared" si="86"/>
        <v>12.43279569892473</v>
      </c>
      <c r="CE98" s="285">
        <f t="shared" si="86"/>
        <v>12.43279569892473</v>
      </c>
      <c r="CF98" s="285">
        <f t="shared" si="86"/>
        <v>12.43279569892473</v>
      </c>
      <c r="CG98" s="285">
        <f t="shared" si="86"/>
        <v>12.43279569892473</v>
      </c>
      <c r="CH98" s="285">
        <f t="shared" si="86"/>
        <v>12.43279569892473</v>
      </c>
      <c r="CI98" s="285">
        <f t="shared" si="86"/>
        <v>12.43279569892473</v>
      </c>
      <c r="CJ98" s="285">
        <f t="shared" si="86"/>
        <v>12.43279569892473</v>
      </c>
      <c r="CK98" s="285">
        <f t="shared" si="86"/>
        <v>12.43279569892473</v>
      </c>
      <c r="CL98" s="285">
        <f t="shared" si="86"/>
        <v>12.43279569892473</v>
      </c>
      <c r="CM98" s="285">
        <f t="shared" si="86"/>
        <v>12.43279569892473</v>
      </c>
      <c r="CN98" s="285">
        <f t="shared" si="86"/>
        <v>12.43279569892473</v>
      </c>
      <c r="CO98" s="285">
        <f t="shared" si="86"/>
        <v>12.43279569892473</v>
      </c>
      <c r="CP98" s="285">
        <f t="shared" si="86"/>
        <v>12.43279569892473</v>
      </c>
      <c r="CQ98" s="285">
        <f t="shared" si="86"/>
        <v>12.43279569892473</v>
      </c>
      <c r="CR98" s="285">
        <f t="shared" si="86"/>
        <v>12.43279569892473</v>
      </c>
      <c r="CS98" s="285">
        <f t="shared" si="86"/>
        <v>12.43279569892473</v>
      </c>
      <c r="CT98" s="285">
        <f t="shared" si="86"/>
        <v>12.43279569892473</v>
      </c>
      <c r="CU98" s="285">
        <f t="shared" si="86"/>
        <v>12.43279569892473</v>
      </c>
      <c r="CV98" s="285">
        <f t="shared" si="86"/>
        <v>12.43279569892473</v>
      </c>
      <c r="CW98" s="285">
        <f t="shared" si="86"/>
        <v>12.43279569892473</v>
      </c>
      <c r="CX98" s="285">
        <f t="shared" si="86"/>
        <v>12.43279569892473</v>
      </c>
      <c r="CY98" s="285">
        <f t="shared" si="86"/>
        <v>12.43279569892473</v>
      </c>
      <c r="CZ98" s="285">
        <f t="shared" si="86"/>
        <v>12.43279569892473</v>
      </c>
      <c r="DA98" s="285">
        <f t="shared" si="86"/>
        <v>12.43279569892473</v>
      </c>
      <c r="DB98" s="285">
        <f t="shared" si="86"/>
        <v>12.43279569892473</v>
      </c>
      <c r="DC98" s="285">
        <f t="shared" si="86"/>
        <v>12.43279569892473</v>
      </c>
      <c r="DD98" s="285">
        <f t="shared" si="86"/>
        <v>12.43279569892473</v>
      </c>
      <c r="DE98" s="285">
        <f t="shared" si="86"/>
        <v>12.43279569892473</v>
      </c>
      <c r="DF98" s="285">
        <f t="shared" si="86"/>
        <v>12.43279569892473</v>
      </c>
      <c r="DG98" s="285">
        <f t="shared" si="86"/>
        <v>12.43279569892473</v>
      </c>
      <c r="DH98" s="285">
        <f t="shared" si="86"/>
        <v>12.43279569892473</v>
      </c>
      <c r="DI98" s="285">
        <f t="shared" si="86"/>
        <v>12.43279569892473</v>
      </c>
      <c r="DJ98" s="285">
        <f t="shared" si="86"/>
        <v>12.43279569892473</v>
      </c>
      <c r="DK98" s="285">
        <f t="shared" si="86"/>
        <v>12.43279569892473</v>
      </c>
      <c r="DL98" s="285">
        <f t="shared" si="86"/>
        <v>12.43279569892473</v>
      </c>
      <c r="DM98" s="285">
        <f t="shared" si="86"/>
        <v>12.43279569892473</v>
      </c>
      <c r="DN98" s="285">
        <f t="shared" si="86"/>
        <v>12.43279569892473</v>
      </c>
      <c r="DO98" s="285">
        <f t="shared" si="86"/>
        <v>12.43279569892473</v>
      </c>
      <c r="DP98" s="285">
        <f t="shared" si="86"/>
        <v>12.43279569892473</v>
      </c>
      <c r="DQ98" s="285">
        <f t="shared" si="86"/>
        <v>12.43279569892473</v>
      </c>
      <c r="DR98" s="285">
        <f t="shared" si="86"/>
        <v>12.43279569892473</v>
      </c>
      <c r="DS98" s="285">
        <f t="shared" si="86"/>
        <v>12.43279569892473</v>
      </c>
      <c r="DT98" s="285">
        <f t="shared" si="86"/>
        <v>12.43279569892473</v>
      </c>
      <c r="DU98" s="285">
        <f t="shared" si="86"/>
        <v>12.43279569892473</v>
      </c>
    </row>
    <row r="99" spans="1:125">
      <c r="A99" s="55"/>
      <c r="B99" s="277" t="str">
        <f t="shared" si="72"/>
        <v>Компрессор винтовой MAGNUS AE1-18A 16 bar</v>
      </c>
      <c r="C99" s="370">
        <f>E48-E48*Исх.данные!$B$21</f>
        <v>643.33333333333326</v>
      </c>
      <c r="D99" s="383"/>
      <c r="E99" s="305">
        <v>31</v>
      </c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>
        <f>$C$99/$E$99/12</f>
        <v>1.729390681003584</v>
      </c>
      <c r="Q99" s="285">
        <f t="shared" ref="Q99:CB99" si="87">$C$99/$E$99/12</f>
        <v>1.729390681003584</v>
      </c>
      <c r="R99" s="285">
        <f t="shared" si="87"/>
        <v>1.729390681003584</v>
      </c>
      <c r="S99" s="285">
        <f t="shared" si="87"/>
        <v>1.729390681003584</v>
      </c>
      <c r="T99" s="285">
        <f t="shared" si="87"/>
        <v>1.729390681003584</v>
      </c>
      <c r="U99" s="285">
        <f t="shared" si="87"/>
        <v>1.729390681003584</v>
      </c>
      <c r="V99" s="285">
        <f t="shared" si="87"/>
        <v>1.729390681003584</v>
      </c>
      <c r="W99" s="285">
        <f t="shared" si="87"/>
        <v>1.729390681003584</v>
      </c>
      <c r="X99" s="285">
        <f t="shared" si="87"/>
        <v>1.729390681003584</v>
      </c>
      <c r="Y99" s="285">
        <f t="shared" si="87"/>
        <v>1.729390681003584</v>
      </c>
      <c r="Z99" s="285">
        <f t="shared" si="87"/>
        <v>1.729390681003584</v>
      </c>
      <c r="AA99" s="285">
        <f t="shared" si="87"/>
        <v>1.729390681003584</v>
      </c>
      <c r="AB99" s="285">
        <f t="shared" si="87"/>
        <v>1.729390681003584</v>
      </c>
      <c r="AC99" s="285">
        <f t="shared" si="87"/>
        <v>1.729390681003584</v>
      </c>
      <c r="AD99" s="285">
        <f t="shared" si="87"/>
        <v>1.729390681003584</v>
      </c>
      <c r="AE99" s="285">
        <f t="shared" si="87"/>
        <v>1.729390681003584</v>
      </c>
      <c r="AF99" s="285">
        <f t="shared" si="87"/>
        <v>1.729390681003584</v>
      </c>
      <c r="AG99" s="285">
        <f t="shared" si="87"/>
        <v>1.729390681003584</v>
      </c>
      <c r="AH99" s="285">
        <f t="shared" si="87"/>
        <v>1.729390681003584</v>
      </c>
      <c r="AI99" s="285">
        <f t="shared" si="87"/>
        <v>1.729390681003584</v>
      </c>
      <c r="AJ99" s="285">
        <f t="shared" si="87"/>
        <v>1.729390681003584</v>
      </c>
      <c r="AK99" s="285">
        <f t="shared" si="87"/>
        <v>1.729390681003584</v>
      </c>
      <c r="AL99" s="285">
        <f t="shared" si="87"/>
        <v>1.729390681003584</v>
      </c>
      <c r="AM99" s="285">
        <f t="shared" si="87"/>
        <v>1.729390681003584</v>
      </c>
      <c r="AN99" s="285">
        <f t="shared" si="87"/>
        <v>1.729390681003584</v>
      </c>
      <c r="AO99" s="285">
        <f t="shared" si="87"/>
        <v>1.729390681003584</v>
      </c>
      <c r="AP99" s="285">
        <f t="shared" si="87"/>
        <v>1.729390681003584</v>
      </c>
      <c r="AQ99" s="285">
        <f t="shared" si="87"/>
        <v>1.729390681003584</v>
      </c>
      <c r="AR99" s="285">
        <f t="shared" si="87"/>
        <v>1.729390681003584</v>
      </c>
      <c r="AS99" s="285">
        <f t="shared" si="87"/>
        <v>1.729390681003584</v>
      </c>
      <c r="AT99" s="285">
        <f t="shared" si="87"/>
        <v>1.729390681003584</v>
      </c>
      <c r="AU99" s="285">
        <f t="shared" si="87"/>
        <v>1.729390681003584</v>
      </c>
      <c r="AV99" s="285">
        <f t="shared" si="87"/>
        <v>1.729390681003584</v>
      </c>
      <c r="AW99" s="285">
        <f t="shared" si="87"/>
        <v>1.729390681003584</v>
      </c>
      <c r="AX99" s="285">
        <f t="shared" si="87"/>
        <v>1.729390681003584</v>
      </c>
      <c r="AY99" s="285">
        <f t="shared" si="87"/>
        <v>1.729390681003584</v>
      </c>
      <c r="AZ99" s="285">
        <f t="shared" si="87"/>
        <v>1.729390681003584</v>
      </c>
      <c r="BA99" s="285">
        <f t="shared" si="87"/>
        <v>1.729390681003584</v>
      </c>
      <c r="BB99" s="285">
        <f t="shared" si="87"/>
        <v>1.729390681003584</v>
      </c>
      <c r="BC99" s="285">
        <f t="shared" si="87"/>
        <v>1.729390681003584</v>
      </c>
      <c r="BD99" s="285">
        <f t="shared" si="87"/>
        <v>1.729390681003584</v>
      </c>
      <c r="BE99" s="285">
        <f t="shared" si="87"/>
        <v>1.729390681003584</v>
      </c>
      <c r="BF99" s="285">
        <f t="shared" si="87"/>
        <v>1.729390681003584</v>
      </c>
      <c r="BG99" s="285">
        <f t="shared" si="87"/>
        <v>1.729390681003584</v>
      </c>
      <c r="BH99" s="285">
        <f t="shared" si="87"/>
        <v>1.729390681003584</v>
      </c>
      <c r="BI99" s="285">
        <f t="shared" si="87"/>
        <v>1.729390681003584</v>
      </c>
      <c r="BJ99" s="285">
        <f t="shared" si="87"/>
        <v>1.729390681003584</v>
      </c>
      <c r="BK99" s="285">
        <f t="shared" si="87"/>
        <v>1.729390681003584</v>
      </c>
      <c r="BL99" s="285">
        <f t="shared" si="87"/>
        <v>1.729390681003584</v>
      </c>
      <c r="BM99" s="285">
        <f t="shared" si="87"/>
        <v>1.729390681003584</v>
      </c>
      <c r="BN99" s="285">
        <f t="shared" si="87"/>
        <v>1.729390681003584</v>
      </c>
      <c r="BO99" s="285">
        <f t="shared" si="87"/>
        <v>1.729390681003584</v>
      </c>
      <c r="BP99" s="285">
        <f t="shared" si="87"/>
        <v>1.729390681003584</v>
      </c>
      <c r="BQ99" s="285">
        <f t="shared" si="87"/>
        <v>1.729390681003584</v>
      </c>
      <c r="BR99" s="285">
        <f t="shared" si="87"/>
        <v>1.729390681003584</v>
      </c>
      <c r="BS99" s="285">
        <f t="shared" si="87"/>
        <v>1.729390681003584</v>
      </c>
      <c r="BT99" s="285">
        <f t="shared" si="87"/>
        <v>1.729390681003584</v>
      </c>
      <c r="BU99" s="285">
        <f t="shared" si="87"/>
        <v>1.729390681003584</v>
      </c>
      <c r="BV99" s="285">
        <f t="shared" si="87"/>
        <v>1.729390681003584</v>
      </c>
      <c r="BW99" s="285">
        <f t="shared" si="87"/>
        <v>1.729390681003584</v>
      </c>
      <c r="BX99" s="285">
        <f t="shared" si="87"/>
        <v>1.729390681003584</v>
      </c>
      <c r="BY99" s="285">
        <f t="shared" si="87"/>
        <v>1.729390681003584</v>
      </c>
      <c r="BZ99" s="285">
        <f t="shared" si="87"/>
        <v>1.729390681003584</v>
      </c>
      <c r="CA99" s="285">
        <f t="shared" si="87"/>
        <v>1.729390681003584</v>
      </c>
      <c r="CB99" s="285">
        <f t="shared" si="87"/>
        <v>1.729390681003584</v>
      </c>
      <c r="CC99" s="285">
        <f t="shared" ref="CC99:DU99" si="88">$C$99/$E$99/12</f>
        <v>1.729390681003584</v>
      </c>
      <c r="CD99" s="285">
        <f t="shared" si="88"/>
        <v>1.729390681003584</v>
      </c>
      <c r="CE99" s="285">
        <f t="shared" si="88"/>
        <v>1.729390681003584</v>
      </c>
      <c r="CF99" s="285">
        <f t="shared" si="88"/>
        <v>1.729390681003584</v>
      </c>
      <c r="CG99" s="285">
        <f t="shared" si="88"/>
        <v>1.729390681003584</v>
      </c>
      <c r="CH99" s="285">
        <f t="shared" si="88"/>
        <v>1.729390681003584</v>
      </c>
      <c r="CI99" s="285">
        <f t="shared" si="88"/>
        <v>1.729390681003584</v>
      </c>
      <c r="CJ99" s="285">
        <f t="shared" si="88"/>
        <v>1.729390681003584</v>
      </c>
      <c r="CK99" s="285">
        <f t="shared" si="88"/>
        <v>1.729390681003584</v>
      </c>
      <c r="CL99" s="285">
        <f t="shared" si="88"/>
        <v>1.729390681003584</v>
      </c>
      <c r="CM99" s="285">
        <f t="shared" si="88"/>
        <v>1.729390681003584</v>
      </c>
      <c r="CN99" s="285">
        <f t="shared" si="88"/>
        <v>1.729390681003584</v>
      </c>
      <c r="CO99" s="285">
        <f t="shared" si="88"/>
        <v>1.729390681003584</v>
      </c>
      <c r="CP99" s="285">
        <f t="shared" si="88"/>
        <v>1.729390681003584</v>
      </c>
      <c r="CQ99" s="285">
        <f t="shared" si="88"/>
        <v>1.729390681003584</v>
      </c>
      <c r="CR99" s="285">
        <f t="shared" si="88"/>
        <v>1.729390681003584</v>
      </c>
      <c r="CS99" s="285">
        <f t="shared" si="88"/>
        <v>1.729390681003584</v>
      </c>
      <c r="CT99" s="285">
        <f t="shared" si="88"/>
        <v>1.729390681003584</v>
      </c>
      <c r="CU99" s="285">
        <f t="shared" si="88"/>
        <v>1.729390681003584</v>
      </c>
      <c r="CV99" s="285">
        <f t="shared" si="88"/>
        <v>1.729390681003584</v>
      </c>
      <c r="CW99" s="285">
        <f t="shared" si="88"/>
        <v>1.729390681003584</v>
      </c>
      <c r="CX99" s="285">
        <f t="shared" si="88"/>
        <v>1.729390681003584</v>
      </c>
      <c r="CY99" s="285">
        <f t="shared" si="88"/>
        <v>1.729390681003584</v>
      </c>
      <c r="CZ99" s="285">
        <f t="shared" si="88"/>
        <v>1.729390681003584</v>
      </c>
      <c r="DA99" s="285">
        <f t="shared" si="88"/>
        <v>1.729390681003584</v>
      </c>
      <c r="DB99" s="285">
        <f t="shared" si="88"/>
        <v>1.729390681003584</v>
      </c>
      <c r="DC99" s="285">
        <f t="shared" si="88"/>
        <v>1.729390681003584</v>
      </c>
      <c r="DD99" s="285">
        <f t="shared" si="88"/>
        <v>1.729390681003584</v>
      </c>
      <c r="DE99" s="285">
        <f t="shared" si="88"/>
        <v>1.729390681003584</v>
      </c>
      <c r="DF99" s="285">
        <f t="shared" si="88"/>
        <v>1.729390681003584</v>
      </c>
      <c r="DG99" s="285">
        <f t="shared" si="88"/>
        <v>1.729390681003584</v>
      </c>
      <c r="DH99" s="285">
        <f t="shared" si="88"/>
        <v>1.729390681003584</v>
      </c>
      <c r="DI99" s="285">
        <f t="shared" si="88"/>
        <v>1.729390681003584</v>
      </c>
      <c r="DJ99" s="285">
        <f t="shared" si="88"/>
        <v>1.729390681003584</v>
      </c>
      <c r="DK99" s="285">
        <f t="shared" si="88"/>
        <v>1.729390681003584</v>
      </c>
      <c r="DL99" s="285">
        <f t="shared" si="88"/>
        <v>1.729390681003584</v>
      </c>
      <c r="DM99" s="285">
        <f t="shared" si="88"/>
        <v>1.729390681003584</v>
      </c>
      <c r="DN99" s="285">
        <f t="shared" si="88"/>
        <v>1.729390681003584</v>
      </c>
      <c r="DO99" s="285">
        <f t="shared" si="88"/>
        <v>1.729390681003584</v>
      </c>
      <c r="DP99" s="285">
        <f t="shared" si="88"/>
        <v>1.729390681003584</v>
      </c>
      <c r="DQ99" s="285">
        <f t="shared" si="88"/>
        <v>1.729390681003584</v>
      </c>
      <c r="DR99" s="285">
        <f t="shared" si="88"/>
        <v>1.729390681003584</v>
      </c>
      <c r="DS99" s="285">
        <f t="shared" si="88"/>
        <v>1.729390681003584</v>
      </c>
      <c r="DT99" s="285">
        <f t="shared" si="88"/>
        <v>1.729390681003584</v>
      </c>
      <c r="DU99" s="285">
        <f t="shared" si="88"/>
        <v>1.729390681003584</v>
      </c>
    </row>
    <row r="100" spans="1:125">
      <c r="A100" s="55"/>
      <c r="B100" s="277" t="str">
        <f t="shared" si="72"/>
        <v xml:space="preserve">Компрессор  </v>
      </c>
      <c r="C100" s="370">
        <f>E49-E49*Исх.данные!$B$21</f>
        <v>625</v>
      </c>
      <c r="D100" s="383"/>
      <c r="E100" s="305">
        <v>31</v>
      </c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>
        <f>$C$100/$E$100/12</f>
        <v>1.6801075268817203</v>
      </c>
      <c r="Q100" s="285">
        <f t="shared" ref="Q100:CB100" si="89">$C$100/$E$100/12</f>
        <v>1.6801075268817203</v>
      </c>
      <c r="R100" s="285">
        <f t="shared" si="89"/>
        <v>1.6801075268817203</v>
      </c>
      <c r="S100" s="285">
        <f t="shared" si="89"/>
        <v>1.6801075268817203</v>
      </c>
      <c r="T100" s="285">
        <f t="shared" si="89"/>
        <v>1.6801075268817203</v>
      </c>
      <c r="U100" s="285">
        <f t="shared" si="89"/>
        <v>1.6801075268817203</v>
      </c>
      <c r="V100" s="285">
        <f t="shared" si="89"/>
        <v>1.6801075268817203</v>
      </c>
      <c r="W100" s="285">
        <f t="shared" si="89"/>
        <v>1.6801075268817203</v>
      </c>
      <c r="X100" s="285">
        <f t="shared" si="89"/>
        <v>1.6801075268817203</v>
      </c>
      <c r="Y100" s="285">
        <f t="shared" si="89"/>
        <v>1.6801075268817203</v>
      </c>
      <c r="Z100" s="285">
        <f t="shared" si="89"/>
        <v>1.6801075268817203</v>
      </c>
      <c r="AA100" s="285">
        <f t="shared" si="89"/>
        <v>1.6801075268817203</v>
      </c>
      <c r="AB100" s="285">
        <f t="shared" si="89"/>
        <v>1.6801075268817203</v>
      </c>
      <c r="AC100" s="285">
        <f t="shared" si="89"/>
        <v>1.6801075268817203</v>
      </c>
      <c r="AD100" s="285">
        <f t="shared" si="89"/>
        <v>1.6801075268817203</v>
      </c>
      <c r="AE100" s="285">
        <f t="shared" si="89"/>
        <v>1.6801075268817203</v>
      </c>
      <c r="AF100" s="285">
        <f t="shared" si="89"/>
        <v>1.6801075268817203</v>
      </c>
      <c r="AG100" s="285">
        <f t="shared" si="89"/>
        <v>1.6801075268817203</v>
      </c>
      <c r="AH100" s="285">
        <f t="shared" si="89"/>
        <v>1.6801075268817203</v>
      </c>
      <c r="AI100" s="285">
        <f t="shared" si="89"/>
        <v>1.6801075268817203</v>
      </c>
      <c r="AJ100" s="285">
        <f t="shared" si="89"/>
        <v>1.6801075268817203</v>
      </c>
      <c r="AK100" s="285">
        <f t="shared" si="89"/>
        <v>1.6801075268817203</v>
      </c>
      <c r="AL100" s="285">
        <f t="shared" si="89"/>
        <v>1.6801075268817203</v>
      </c>
      <c r="AM100" s="285">
        <f t="shared" si="89"/>
        <v>1.6801075268817203</v>
      </c>
      <c r="AN100" s="285">
        <f t="shared" si="89"/>
        <v>1.6801075268817203</v>
      </c>
      <c r="AO100" s="285">
        <f t="shared" si="89"/>
        <v>1.6801075268817203</v>
      </c>
      <c r="AP100" s="285">
        <f t="shared" si="89"/>
        <v>1.6801075268817203</v>
      </c>
      <c r="AQ100" s="285">
        <f t="shared" si="89"/>
        <v>1.6801075268817203</v>
      </c>
      <c r="AR100" s="285">
        <f t="shared" si="89"/>
        <v>1.6801075268817203</v>
      </c>
      <c r="AS100" s="285">
        <f t="shared" si="89"/>
        <v>1.6801075268817203</v>
      </c>
      <c r="AT100" s="285">
        <f t="shared" si="89"/>
        <v>1.6801075268817203</v>
      </c>
      <c r="AU100" s="285">
        <f t="shared" si="89"/>
        <v>1.6801075268817203</v>
      </c>
      <c r="AV100" s="285">
        <f t="shared" si="89"/>
        <v>1.6801075268817203</v>
      </c>
      <c r="AW100" s="285">
        <f t="shared" si="89"/>
        <v>1.6801075268817203</v>
      </c>
      <c r="AX100" s="285">
        <f t="shared" si="89"/>
        <v>1.6801075268817203</v>
      </c>
      <c r="AY100" s="285">
        <f t="shared" si="89"/>
        <v>1.6801075268817203</v>
      </c>
      <c r="AZ100" s="285">
        <f t="shared" si="89"/>
        <v>1.6801075268817203</v>
      </c>
      <c r="BA100" s="285">
        <f t="shared" si="89"/>
        <v>1.6801075268817203</v>
      </c>
      <c r="BB100" s="285">
        <f t="shared" si="89"/>
        <v>1.6801075268817203</v>
      </c>
      <c r="BC100" s="285">
        <f t="shared" si="89"/>
        <v>1.6801075268817203</v>
      </c>
      <c r="BD100" s="285">
        <f t="shared" si="89"/>
        <v>1.6801075268817203</v>
      </c>
      <c r="BE100" s="285">
        <f t="shared" si="89"/>
        <v>1.6801075268817203</v>
      </c>
      <c r="BF100" s="285">
        <f t="shared" si="89"/>
        <v>1.6801075268817203</v>
      </c>
      <c r="BG100" s="285">
        <f t="shared" si="89"/>
        <v>1.6801075268817203</v>
      </c>
      <c r="BH100" s="285">
        <f t="shared" si="89"/>
        <v>1.6801075268817203</v>
      </c>
      <c r="BI100" s="285">
        <f t="shared" si="89"/>
        <v>1.6801075268817203</v>
      </c>
      <c r="BJ100" s="285">
        <f t="shared" si="89"/>
        <v>1.6801075268817203</v>
      </c>
      <c r="BK100" s="285">
        <f t="shared" si="89"/>
        <v>1.6801075268817203</v>
      </c>
      <c r="BL100" s="285">
        <f t="shared" si="89"/>
        <v>1.6801075268817203</v>
      </c>
      <c r="BM100" s="285">
        <f t="shared" si="89"/>
        <v>1.6801075268817203</v>
      </c>
      <c r="BN100" s="285">
        <f t="shared" si="89"/>
        <v>1.6801075268817203</v>
      </c>
      <c r="BO100" s="285">
        <f t="shared" si="89"/>
        <v>1.6801075268817203</v>
      </c>
      <c r="BP100" s="285">
        <f t="shared" si="89"/>
        <v>1.6801075268817203</v>
      </c>
      <c r="BQ100" s="285">
        <f t="shared" si="89"/>
        <v>1.6801075268817203</v>
      </c>
      <c r="BR100" s="285">
        <f t="shared" si="89"/>
        <v>1.6801075268817203</v>
      </c>
      <c r="BS100" s="285">
        <f t="shared" si="89"/>
        <v>1.6801075268817203</v>
      </c>
      <c r="BT100" s="285">
        <f t="shared" si="89"/>
        <v>1.6801075268817203</v>
      </c>
      <c r="BU100" s="285">
        <f t="shared" si="89"/>
        <v>1.6801075268817203</v>
      </c>
      <c r="BV100" s="285">
        <f t="shared" si="89"/>
        <v>1.6801075268817203</v>
      </c>
      <c r="BW100" s="285">
        <f t="shared" si="89"/>
        <v>1.6801075268817203</v>
      </c>
      <c r="BX100" s="285">
        <f t="shared" si="89"/>
        <v>1.6801075268817203</v>
      </c>
      <c r="BY100" s="285">
        <f t="shared" si="89"/>
        <v>1.6801075268817203</v>
      </c>
      <c r="BZ100" s="285">
        <f t="shared" si="89"/>
        <v>1.6801075268817203</v>
      </c>
      <c r="CA100" s="285">
        <f t="shared" si="89"/>
        <v>1.6801075268817203</v>
      </c>
      <c r="CB100" s="285">
        <f t="shared" si="89"/>
        <v>1.6801075268817203</v>
      </c>
      <c r="CC100" s="285">
        <f t="shared" ref="CC100:DU100" si="90">$C$100/$E$100/12</f>
        <v>1.6801075268817203</v>
      </c>
      <c r="CD100" s="285">
        <f t="shared" si="90"/>
        <v>1.6801075268817203</v>
      </c>
      <c r="CE100" s="285">
        <f t="shared" si="90"/>
        <v>1.6801075268817203</v>
      </c>
      <c r="CF100" s="285">
        <f t="shared" si="90"/>
        <v>1.6801075268817203</v>
      </c>
      <c r="CG100" s="285">
        <f t="shared" si="90"/>
        <v>1.6801075268817203</v>
      </c>
      <c r="CH100" s="285">
        <f t="shared" si="90"/>
        <v>1.6801075268817203</v>
      </c>
      <c r="CI100" s="285">
        <f t="shared" si="90"/>
        <v>1.6801075268817203</v>
      </c>
      <c r="CJ100" s="285">
        <f t="shared" si="90"/>
        <v>1.6801075268817203</v>
      </c>
      <c r="CK100" s="285">
        <f t="shared" si="90"/>
        <v>1.6801075268817203</v>
      </c>
      <c r="CL100" s="285">
        <f t="shared" si="90"/>
        <v>1.6801075268817203</v>
      </c>
      <c r="CM100" s="285">
        <f t="shared" si="90"/>
        <v>1.6801075268817203</v>
      </c>
      <c r="CN100" s="285">
        <f t="shared" si="90"/>
        <v>1.6801075268817203</v>
      </c>
      <c r="CO100" s="285">
        <f t="shared" si="90"/>
        <v>1.6801075268817203</v>
      </c>
      <c r="CP100" s="285">
        <f t="shared" si="90"/>
        <v>1.6801075268817203</v>
      </c>
      <c r="CQ100" s="285">
        <f t="shared" si="90"/>
        <v>1.6801075268817203</v>
      </c>
      <c r="CR100" s="285">
        <f t="shared" si="90"/>
        <v>1.6801075268817203</v>
      </c>
      <c r="CS100" s="285">
        <f t="shared" si="90"/>
        <v>1.6801075268817203</v>
      </c>
      <c r="CT100" s="285">
        <f t="shared" si="90"/>
        <v>1.6801075268817203</v>
      </c>
      <c r="CU100" s="285">
        <f t="shared" si="90"/>
        <v>1.6801075268817203</v>
      </c>
      <c r="CV100" s="285">
        <f t="shared" si="90"/>
        <v>1.6801075268817203</v>
      </c>
      <c r="CW100" s="285">
        <f t="shared" si="90"/>
        <v>1.6801075268817203</v>
      </c>
      <c r="CX100" s="285">
        <f t="shared" si="90"/>
        <v>1.6801075268817203</v>
      </c>
      <c r="CY100" s="285">
        <f t="shared" si="90"/>
        <v>1.6801075268817203</v>
      </c>
      <c r="CZ100" s="285">
        <f t="shared" si="90"/>
        <v>1.6801075268817203</v>
      </c>
      <c r="DA100" s="285">
        <f t="shared" si="90"/>
        <v>1.6801075268817203</v>
      </c>
      <c r="DB100" s="285">
        <f t="shared" si="90"/>
        <v>1.6801075268817203</v>
      </c>
      <c r="DC100" s="285">
        <f t="shared" si="90"/>
        <v>1.6801075268817203</v>
      </c>
      <c r="DD100" s="285">
        <f t="shared" si="90"/>
        <v>1.6801075268817203</v>
      </c>
      <c r="DE100" s="285">
        <f t="shared" si="90"/>
        <v>1.6801075268817203</v>
      </c>
      <c r="DF100" s="285">
        <f t="shared" si="90"/>
        <v>1.6801075268817203</v>
      </c>
      <c r="DG100" s="285">
        <f t="shared" si="90"/>
        <v>1.6801075268817203</v>
      </c>
      <c r="DH100" s="285">
        <f t="shared" si="90"/>
        <v>1.6801075268817203</v>
      </c>
      <c r="DI100" s="285">
        <f t="shared" si="90"/>
        <v>1.6801075268817203</v>
      </c>
      <c r="DJ100" s="285">
        <f t="shared" si="90"/>
        <v>1.6801075268817203</v>
      </c>
      <c r="DK100" s="285">
        <f t="shared" si="90"/>
        <v>1.6801075268817203</v>
      </c>
      <c r="DL100" s="285">
        <f t="shared" si="90"/>
        <v>1.6801075268817203</v>
      </c>
      <c r="DM100" s="285">
        <f t="shared" si="90"/>
        <v>1.6801075268817203</v>
      </c>
      <c r="DN100" s="285">
        <f t="shared" si="90"/>
        <v>1.6801075268817203</v>
      </c>
      <c r="DO100" s="285">
        <f t="shared" si="90"/>
        <v>1.6801075268817203</v>
      </c>
      <c r="DP100" s="285">
        <f t="shared" si="90"/>
        <v>1.6801075268817203</v>
      </c>
      <c r="DQ100" s="285">
        <f t="shared" si="90"/>
        <v>1.6801075268817203</v>
      </c>
      <c r="DR100" s="285">
        <f t="shared" si="90"/>
        <v>1.6801075268817203</v>
      </c>
      <c r="DS100" s="285">
        <f t="shared" si="90"/>
        <v>1.6801075268817203</v>
      </c>
      <c r="DT100" s="285">
        <f t="shared" si="90"/>
        <v>1.6801075268817203</v>
      </c>
      <c r="DU100" s="285">
        <f t="shared" si="90"/>
        <v>1.6801075268817203</v>
      </c>
    </row>
    <row r="101" spans="1:125">
      <c r="A101" s="55"/>
      <c r="B101" s="277" t="str">
        <f t="shared" si="72"/>
        <v>Сборочный стол мал (2000х1000) (собственное изготовление/тест лазрного стола)</v>
      </c>
      <c r="C101" s="370">
        <f>E50-E50*Исх.данные!$B$21</f>
        <v>75</v>
      </c>
      <c r="D101" s="383"/>
      <c r="E101" s="305">
        <v>31</v>
      </c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>
        <f>$C$101/$E$101/12</f>
        <v>0.20161290322580647</v>
      </c>
      <c r="Q101" s="285">
        <f t="shared" ref="Q101:CB101" si="91">$C$101/$E$101/12</f>
        <v>0.20161290322580647</v>
      </c>
      <c r="R101" s="285">
        <f t="shared" si="91"/>
        <v>0.20161290322580647</v>
      </c>
      <c r="S101" s="285">
        <f t="shared" si="91"/>
        <v>0.20161290322580647</v>
      </c>
      <c r="T101" s="285">
        <f t="shared" si="91"/>
        <v>0.20161290322580647</v>
      </c>
      <c r="U101" s="285">
        <f t="shared" si="91"/>
        <v>0.20161290322580647</v>
      </c>
      <c r="V101" s="285">
        <f t="shared" si="91"/>
        <v>0.20161290322580647</v>
      </c>
      <c r="W101" s="285">
        <f t="shared" si="91"/>
        <v>0.20161290322580647</v>
      </c>
      <c r="X101" s="285">
        <f t="shared" si="91"/>
        <v>0.20161290322580647</v>
      </c>
      <c r="Y101" s="285">
        <f t="shared" si="91"/>
        <v>0.20161290322580647</v>
      </c>
      <c r="Z101" s="285">
        <f t="shared" si="91"/>
        <v>0.20161290322580647</v>
      </c>
      <c r="AA101" s="285">
        <f t="shared" si="91"/>
        <v>0.20161290322580647</v>
      </c>
      <c r="AB101" s="285">
        <f t="shared" si="91"/>
        <v>0.20161290322580647</v>
      </c>
      <c r="AC101" s="285">
        <f t="shared" si="91"/>
        <v>0.20161290322580647</v>
      </c>
      <c r="AD101" s="285">
        <f t="shared" si="91"/>
        <v>0.20161290322580647</v>
      </c>
      <c r="AE101" s="285">
        <f t="shared" si="91"/>
        <v>0.20161290322580647</v>
      </c>
      <c r="AF101" s="285">
        <f t="shared" si="91"/>
        <v>0.20161290322580647</v>
      </c>
      <c r="AG101" s="285">
        <f t="shared" si="91"/>
        <v>0.20161290322580647</v>
      </c>
      <c r="AH101" s="285">
        <f t="shared" si="91"/>
        <v>0.20161290322580647</v>
      </c>
      <c r="AI101" s="285">
        <f t="shared" si="91"/>
        <v>0.20161290322580647</v>
      </c>
      <c r="AJ101" s="285">
        <f t="shared" si="91"/>
        <v>0.20161290322580647</v>
      </c>
      <c r="AK101" s="285">
        <f t="shared" si="91"/>
        <v>0.20161290322580647</v>
      </c>
      <c r="AL101" s="285">
        <f t="shared" si="91"/>
        <v>0.20161290322580647</v>
      </c>
      <c r="AM101" s="285">
        <f t="shared" si="91"/>
        <v>0.20161290322580647</v>
      </c>
      <c r="AN101" s="285">
        <f t="shared" si="91"/>
        <v>0.20161290322580647</v>
      </c>
      <c r="AO101" s="285">
        <f t="shared" si="91"/>
        <v>0.20161290322580647</v>
      </c>
      <c r="AP101" s="285">
        <f t="shared" si="91"/>
        <v>0.20161290322580647</v>
      </c>
      <c r="AQ101" s="285">
        <f t="shared" si="91"/>
        <v>0.20161290322580647</v>
      </c>
      <c r="AR101" s="285">
        <f t="shared" si="91"/>
        <v>0.20161290322580647</v>
      </c>
      <c r="AS101" s="285">
        <f t="shared" si="91"/>
        <v>0.20161290322580647</v>
      </c>
      <c r="AT101" s="285">
        <f t="shared" si="91"/>
        <v>0.20161290322580647</v>
      </c>
      <c r="AU101" s="285">
        <f t="shared" si="91"/>
        <v>0.20161290322580647</v>
      </c>
      <c r="AV101" s="285">
        <f t="shared" si="91"/>
        <v>0.20161290322580647</v>
      </c>
      <c r="AW101" s="285">
        <f t="shared" si="91"/>
        <v>0.20161290322580647</v>
      </c>
      <c r="AX101" s="285">
        <f t="shared" si="91"/>
        <v>0.20161290322580647</v>
      </c>
      <c r="AY101" s="285">
        <f t="shared" si="91"/>
        <v>0.20161290322580647</v>
      </c>
      <c r="AZ101" s="285">
        <f t="shared" si="91"/>
        <v>0.20161290322580647</v>
      </c>
      <c r="BA101" s="285">
        <f t="shared" si="91"/>
        <v>0.20161290322580647</v>
      </c>
      <c r="BB101" s="285">
        <f t="shared" si="91"/>
        <v>0.20161290322580647</v>
      </c>
      <c r="BC101" s="285">
        <f t="shared" si="91"/>
        <v>0.20161290322580647</v>
      </c>
      <c r="BD101" s="285">
        <f t="shared" si="91"/>
        <v>0.20161290322580647</v>
      </c>
      <c r="BE101" s="285">
        <f t="shared" si="91"/>
        <v>0.20161290322580647</v>
      </c>
      <c r="BF101" s="285">
        <f t="shared" si="91"/>
        <v>0.20161290322580647</v>
      </c>
      <c r="BG101" s="285">
        <f t="shared" si="91"/>
        <v>0.20161290322580647</v>
      </c>
      <c r="BH101" s="285">
        <f t="shared" si="91"/>
        <v>0.20161290322580647</v>
      </c>
      <c r="BI101" s="285">
        <f t="shared" si="91"/>
        <v>0.20161290322580647</v>
      </c>
      <c r="BJ101" s="285">
        <f t="shared" si="91"/>
        <v>0.20161290322580647</v>
      </c>
      <c r="BK101" s="285">
        <f t="shared" si="91"/>
        <v>0.20161290322580647</v>
      </c>
      <c r="BL101" s="285">
        <f t="shared" si="91"/>
        <v>0.20161290322580647</v>
      </c>
      <c r="BM101" s="285">
        <f t="shared" si="91"/>
        <v>0.20161290322580647</v>
      </c>
      <c r="BN101" s="285">
        <f t="shared" si="91"/>
        <v>0.20161290322580647</v>
      </c>
      <c r="BO101" s="285">
        <f t="shared" si="91"/>
        <v>0.20161290322580647</v>
      </c>
      <c r="BP101" s="285">
        <f t="shared" si="91"/>
        <v>0.20161290322580647</v>
      </c>
      <c r="BQ101" s="285">
        <f t="shared" si="91"/>
        <v>0.20161290322580647</v>
      </c>
      <c r="BR101" s="285">
        <f t="shared" si="91"/>
        <v>0.20161290322580647</v>
      </c>
      <c r="BS101" s="285">
        <f t="shared" si="91"/>
        <v>0.20161290322580647</v>
      </c>
      <c r="BT101" s="285">
        <f t="shared" si="91"/>
        <v>0.20161290322580647</v>
      </c>
      <c r="BU101" s="285">
        <f t="shared" si="91"/>
        <v>0.20161290322580647</v>
      </c>
      <c r="BV101" s="285">
        <f t="shared" si="91"/>
        <v>0.20161290322580647</v>
      </c>
      <c r="BW101" s="285">
        <f t="shared" si="91"/>
        <v>0.20161290322580647</v>
      </c>
      <c r="BX101" s="285">
        <f t="shared" si="91"/>
        <v>0.20161290322580647</v>
      </c>
      <c r="BY101" s="285">
        <f t="shared" si="91"/>
        <v>0.20161290322580647</v>
      </c>
      <c r="BZ101" s="285">
        <f t="shared" si="91"/>
        <v>0.20161290322580647</v>
      </c>
      <c r="CA101" s="285">
        <f t="shared" si="91"/>
        <v>0.20161290322580647</v>
      </c>
      <c r="CB101" s="285">
        <f t="shared" si="91"/>
        <v>0.20161290322580647</v>
      </c>
      <c r="CC101" s="285">
        <f t="shared" ref="CC101:DU101" si="92">$C$101/$E$101/12</f>
        <v>0.20161290322580647</v>
      </c>
      <c r="CD101" s="285">
        <f t="shared" si="92"/>
        <v>0.20161290322580647</v>
      </c>
      <c r="CE101" s="285">
        <f t="shared" si="92"/>
        <v>0.20161290322580647</v>
      </c>
      <c r="CF101" s="285">
        <f t="shared" si="92"/>
        <v>0.20161290322580647</v>
      </c>
      <c r="CG101" s="285">
        <f t="shared" si="92"/>
        <v>0.20161290322580647</v>
      </c>
      <c r="CH101" s="285">
        <f t="shared" si="92"/>
        <v>0.20161290322580647</v>
      </c>
      <c r="CI101" s="285">
        <f t="shared" si="92"/>
        <v>0.20161290322580647</v>
      </c>
      <c r="CJ101" s="285">
        <f t="shared" si="92"/>
        <v>0.20161290322580647</v>
      </c>
      <c r="CK101" s="285">
        <f t="shared" si="92"/>
        <v>0.20161290322580647</v>
      </c>
      <c r="CL101" s="285">
        <f t="shared" si="92"/>
        <v>0.20161290322580647</v>
      </c>
      <c r="CM101" s="285">
        <f t="shared" si="92"/>
        <v>0.20161290322580647</v>
      </c>
      <c r="CN101" s="285">
        <f t="shared" si="92"/>
        <v>0.20161290322580647</v>
      </c>
      <c r="CO101" s="285">
        <f t="shared" si="92"/>
        <v>0.20161290322580647</v>
      </c>
      <c r="CP101" s="285">
        <f t="shared" si="92"/>
        <v>0.20161290322580647</v>
      </c>
      <c r="CQ101" s="285">
        <f t="shared" si="92"/>
        <v>0.20161290322580647</v>
      </c>
      <c r="CR101" s="285">
        <f t="shared" si="92"/>
        <v>0.20161290322580647</v>
      </c>
      <c r="CS101" s="285">
        <f t="shared" si="92"/>
        <v>0.20161290322580647</v>
      </c>
      <c r="CT101" s="285">
        <f t="shared" si="92"/>
        <v>0.20161290322580647</v>
      </c>
      <c r="CU101" s="285">
        <f t="shared" si="92"/>
        <v>0.20161290322580647</v>
      </c>
      <c r="CV101" s="285">
        <f t="shared" si="92"/>
        <v>0.20161290322580647</v>
      </c>
      <c r="CW101" s="285">
        <f t="shared" si="92"/>
        <v>0.20161290322580647</v>
      </c>
      <c r="CX101" s="285">
        <f t="shared" si="92"/>
        <v>0.20161290322580647</v>
      </c>
      <c r="CY101" s="285">
        <f t="shared" si="92"/>
        <v>0.20161290322580647</v>
      </c>
      <c r="CZ101" s="285">
        <f t="shared" si="92"/>
        <v>0.20161290322580647</v>
      </c>
      <c r="DA101" s="285">
        <f t="shared" si="92"/>
        <v>0.20161290322580647</v>
      </c>
      <c r="DB101" s="285">
        <f t="shared" si="92"/>
        <v>0.20161290322580647</v>
      </c>
      <c r="DC101" s="285">
        <f t="shared" si="92"/>
        <v>0.20161290322580647</v>
      </c>
      <c r="DD101" s="285">
        <f t="shared" si="92"/>
        <v>0.20161290322580647</v>
      </c>
      <c r="DE101" s="285">
        <f t="shared" si="92"/>
        <v>0.20161290322580647</v>
      </c>
      <c r="DF101" s="285">
        <f t="shared" si="92"/>
        <v>0.20161290322580647</v>
      </c>
      <c r="DG101" s="285">
        <f t="shared" si="92"/>
        <v>0.20161290322580647</v>
      </c>
      <c r="DH101" s="285">
        <f t="shared" si="92"/>
        <v>0.20161290322580647</v>
      </c>
      <c r="DI101" s="285">
        <f t="shared" si="92"/>
        <v>0.20161290322580647</v>
      </c>
      <c r="DJ101" s="285">
        <f t="shared" si="92"/>
        <v>0.20161290322580647</v>
      </c>
      <c r="DK101" s="285">
        <f t="shared" si="92"/>
        <v>0.20161290322580647</v>
      </c>
      <c r="DL101" s="285">
        <f t="shared" si="92"/>
        <v>0.20161290322580647</v>
      </c>
      <c r="DM101" s="285">
        <f t="shared" si="92"/>
        <v>0.20161290322580647</v>
      </c>
      <c r="DN101" s="285">
        <f t="shared" si="92"/>
        <v>0.20161290322580647</v>
      </c>
      <c r="DO101" s="285">
        <f t="shared" si="92"/>
        <v>0.20161290322580647</v>
      </c>
      <c r="DP101" s="285">
        <f t="shared" si="92"/>
        <v>0.20161290322580647</v>
      </c>
      <c r="DQ101" s="285">
        <f t="shared" si="92"/>
        <v>0.20161290322580647</v>
      </c>
      <c r="DR101" s="285">
        <f t="shared" si="92"/>
        <v>0.20161290322580647</v>
      </c>
      <c r="DS101" s="285">
        <f t="shared" si="92"/>
        <v>0.20161290322580647</v>
      </c>
      <c r="DT101" s="285">
        <f t="shared" si="92"/>
        <v>0.20161290322580647</v>
      </c>
      <c r="DU101" s="285">
        <f t="shared" si="92"/>
        <v>0.20161290322580647</v>
      </c>
    </row>
    <row r="102" spans="1:125">
      <c r="A102" s="55"/>
      <c r="B102" s="277" t="str">
        <f t="shared" si="72"/>
        <v>Сборочный стол (рама) бол. (4м) (собственное изготовление)</v>
      </c>
      <c r="C102" s="370">
        <f>E51-E51*Исх.данные!$B$21</f>
        <v>33.333333333333329</v>
      </c>
      <c r="D102" s="383"/>
      <c r="E102" s="305">
        <v>31</v>
      </c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>
        <f>$C$102/$E$102/12</f>
        <v>8.9605734767025089E-2</v>
      </c>
      <c r="Q102" s="285">
        <f t="shared" ref="Q102:CB102" si="93">$C$102/$E$102/12</f>
        <v>8.9605734767025089E-2</v>
      </c>
      <c r="R102" s="285">
        <f t="shared" si="93"/>
        <v>8.9605734767025089E-2</v>
      </c>
      <c r="S102" s="285">
        <f t="shared" si="93"/>
        <v>8.9605734767025089E-2</v>
      </c>
      <c r="T102" s="285">
        <f t="shared" si="93"/>
        <v>8.9605734767025089E-2</v>
      </c>
      <c r="U102" s="285">
        <f t="shared" si="93"/>
        <v>8.9605734767025089E-2</v>
      </c>
      <c r="V102" s="285">
        <f t="shared" si="93"/>
        <v>8.9605734767025089E-2</v>
      </c>
      <c r="W102" s="285">
        <f t="shared" si="93"/>
        <v>8.9605734767025089E-2</v>
      </c>
      <c r="X102" s="285">
        <f t="shared" si="93"/>
        <v>8.9605734767025089E-2</v>
      </c>
      <c r="Y102" s="285">
        <f t="shared" si="93"/>
        <v>8.9605734767025089E-2</v>
      </c>
      <c r="Z102" s="285">
        <f t="shared" si="93"/>
        <v>8.9605734767025089E-2</v>
      </c>
      <c r="AA102" s="285">
        <f t="shared" si="93"/>
        <v>8.9605734767025089E-2</v>
      </c>
      <c r="AB102" s="285">
        <f t="shared" si="93"/>
        <v>8.9605734767025089E-2</v>
      </c>
      <c r="AC102" s="285">
        <f t="shared" si="93"/>
        <v>8.9605734767025089E-2</v>
      </c>
      <c r="AD102" s="285">
        <f t="shared" si="93"/>
        <v>8.9605734767025089E-2</v>
      </c>
      <c r="AE102" s="285">
        <f t="shared" si="93"/>
        <v>8.9605734767025089E-2</v>
      </c>
      <c r="AF102" s="285">
        <f t="shared" si="93"/>
        <v>8.9605734767025089E-2</v>
      </c>
      <c r="AG102" s="285">
        <f t="shared" si="93"/>
        <v>8.9605734767025089E-2</v>
      </c>
      <c r="AH102" s="285">
        <f t="shared" si="93"/>
        <v>8.9605734767025089E-2</v>
      </c>
      <c r="AI102" s="285">
        <f t="shared" si="93"/>
        <v>8.9605734767025089E-2</v>
      </c>
      <c r="AJ102" s="285">
        <f t="shared" si="93"/>
        <v>8.9605734767025089E-2</v>
      </c>
      <c r="AK102" s="285">
        <f t="shared" si="93"/>
        <v>8.9605734767025089E-2</v>
      </c>
      <c r="AL102" s="285">
        <f t="shared" si="93"/>
        <v>8.9605734767025089E-2</v>
      </c>
      <c r="AM102" s="285">
        <f t="shared" si="93"/>
        <v>8.9605734767025089E-2</v>
      </c>
      <c r="AN102" s="285">
        <f t="shared" si="93"/>
        <v>8.9605734767025089E-2</v>
      </c>
      <c r="AO102" s="285">
        <f t="shared" si="93"/>
        <v>8.9605734767025089E-2</v>
      </c>
      <c r="AP102" s="285">
        <f t="shared" si="93"/>
        <v>8.9605734767025089E-2</v>
      </c>
      <c r="AQ102" s="285">
        <f t="shared" si="93"/>
        <v>8.9605734767025089E-2</v>
      </c>
      <c r="AR102" s="285">
        <f t="shared" si="93"/>
        <v>8.9605734767025089E-2</v>
      </c>
      <c r="AS102" s="285">
        <f t="shared" si="93"/>
        <v>8.9605734767025089E-2</v>
      </c>
      <c r="AT102" s="285">
        <f t="shared" si="93"/>
        <v>8.9605734767025089E-2</v>
      </c>
      <c r="AU102" s="285">
        <f t="shared" si="93"/>
        <v>8.9605734767025089E-2</v>
      </c>
      <c r="AV102" s="285">
        <f t="shared" si="93"/>
        <v>8.9605734767025089E-2</v>
      </c>
      <c r="AW102" s="285">
        <f t="shared" si="93"/>
        <v>8.9605734767025089E-2</v>
      </c>
      <c r="AX102" s="285">
        <f t="shared" si="93"/>
        <v>8.9605734767025089E-2</v>
      </c>
      <c r="AY102" s="285">
        <f t="shared" si="93"/>
        <v>8.9605734767025089E-2</v>
      </c>
      <c r="AZ102" s="285">
        <f t="shared" si="93"/>
        <v>8.9605734767025089E-2</v>
      </c>
      <c r="BA102" s="285">
        <f t="shared" si="93"/>
        <v>8.9605734767025089E-2</v>
      </c>
      <c r="BB102" s="285">
        <f t="shared" si="93"/>
        <v>8.9605734767025089E-2</v>
      </c>
      <c r="BC102" s="285">
        <f t="shared" si="93"/>
        <v>8.9605734767025089E-2</v>
      </c>
      <c r="BD102" s="285">
        <f t="shared" si="93"/>
        <v>8.9605734767025089E-2</v>
      </c>
      <c r="BE102" s="285">
        <f t="shared" si="93"/>
        <v>8.9605734767025089E-2</v>
      </c>
      <c r="BF102" s="285">
        <f t="shared" si="93"/>
        <v>8.9605734767025089E-2</v>
      </c>
      <c r="BG102" s="285">
        <f t="shared" si="93"/>
        <v>8.9605734767025089E-2</v>
      </c>
      <c r="BH102" s="285">
        <f t="shared" si="93"/>
        <v>8.9605734767025089E-2</v>
      </c>
      <c r="BI102" s="285">
        <f t="shared" si="93"/>
        <v>8.9605734767025089E-2</v>
      </c>
      <c r="BJ102" s="285">
        <f t="shared" si="93"/>
        <v>8.9605734767025089E-2</v>
      </c>
      <c r="BK102" s="285">
        <f t="shared" si="93"/>
        <v>8.9605734767025089E-2</v>
      </c>
      <c r="BL102" s="285">
        <f t="shared" si="93"/>
        <v>8.9605734767025089E-2</v>
      </c>
      <c r="BM102" s="285">
        <f t="shared" si="93"/>
        <v>8.9605734767025089E-2</v>
      </c>
      <c r="BN102" s="285">
        <f t="shared" si="93"/>
        <v>8.9605734767025089E-2</v>
      </c>
      <c r="BO102" s="285">
        <f t="shared" si="93"/>
        <v>8.9605734767025089E-2</v>
      </c>
      <c r="BP102" s="285">
        <f t="shared" si="93"/>
        <v>8.9605734767025089E-2</v>
      </c>
      <c r="BQ102" s="285">
        <f t="shared" si="93"/>
        <v>8.9605734767025089E-2</v>
      </c>
      <c r="BR102" s="285">
        <f t="shared" si="93"/>
        <v>8.9605734767025089E-2</v>
      </c>
      <c r="BS102" s="285">
        <f t="shared" si="93"/>
        <v>8.9605734767025089E-2</v>
      </c>
      <c r="BT102" s="285">
        <f t="shared" si="93"/>
        <v>8.9605734767025089E-2</v>
      </c>
      <c r="BU102" s="285">
        <f t="shared" si="93"/>
        <v>8.9605734767025089E-2</v>
      </c>
      <c r="BV102" s="285">
        <f t="shared" si="93"/>
        <v>8.9605734767025089E-2</v>
      </c>
      <c r="BW102" s="285">
        <f t="shared" si="93"/>
        <v>8.9605734767025089E-2</v>
      </c>
      <c r="BX102" s="285">
        <f t="shared" si="93"/>
        <v>8.9605734767025089E-2</v>
      </c>
      <c r="BY102" s="285">
        <f t="shared" si="93"/>
        <v>8.9605734767025089E-2</v>
      </c>
      <c r="BZ102" s="285">
        <f t="shared" si="93"/>
        <v>8.9605734767025089E-2</v>
      </c>
      <c r="CA102" s="285">
        <f t="shared" si="93"/>
        <v>8.9605734767025089E-2</v>
      </c>
      <c r="CB102" s="285">
        <f t="shared" si="93"/>
        <v>8.9605734767025089E-2</v>
      </c>
      <c r="CC102" s="285">
        <f t="shared" ref="CC102:DU102" si="94">$C$102/$E$102/12</f>
        <v>8.9605734767025089E-2</v>
      </c>
      <c r="CD102" s="285">
        <f t="shared" si="94"/>
        <v>8.9605734767025089E-2</v>
      </c>
      <c r="CE102" s="285">
        <f t="shared" si="94"/>
        <v>8.9605734767025089E-2</v>
      </c>
      <c r="CF102" s="285">
        <f t="shared" si="94"/>
        <v>8.9605734767025089E-2</v>
      </c>
      <c r="CG102" s="285">
        <f t="shared" si="94"/>
        <v>8.9605734767025089E-2</v>
      </c>
      <c r="CH102" s="285">
        <f t="shared" si="94"/>
        <v>8.9605734767025089E-2</v>
      </c>
      <c r="CI102" s="285">
        <f t="shared" si="94"/>
        <v>8.9605734767025089E-2</v>
      </c>
      <c r="CJ102" s="285">
        <f t="shared" si="94"/>
        <v>8.9605734767025089E-2</v>
      </c>
      <c r="CK102" s="285">
        <f t="shared" si="94"/>
        <v>8.9605734767025089E-2</v>
      </c>
      <c r="CL102" s="285">
        <f t="shared" si="94"/>
        <v>8.9605734767025089E-2</v>
      </c>
      <c r="CM102" s="285">
        <f t="shared" si="94"/>
        <v>8.9605734767025089E-2</v>
      </c>
      <c r="CN102" s="285">
        <f t="shared" si="94"/>
        <v>8.9605734767025089E-2</v>
      </c>
      <c r="CO102" s="285">
        <f t="shared" si="94"/>
        <v>8.9605734767025089E-2</v>
      </c>
      <c r="CP102" s="285">
        <f t="shared" si="94"/>
        <v>8.9605734767025089E-2</v>
      </c>
      <c r="CQ102" s="285">
        <f t="shared" si="94"/>
        <v>8.9605734767025089E-2</v>
      </c>
      <c r="CR102" s="285">
        <f t="shared" si="94"/>
        <v>8.9605734767025089E-2</v>
      </c>
      <c r="CS102" s="285">
        <f t="shared" si="94"/>
        <v>8.9605734767025089E-2</v>
      </c>
      <c r="CT102" s="285">
        <f t="shared" si="94"/>
        <v>8.9605734767025089E-2</v>
      </c>
      <c r="CU102" s="285">
        <f t="shared" si="94"/>
        <v>8.9605734767025089E-2</v>
      </c>
      <c r="CV102" s="285">
        <f t="shared" si="94"/>
        <v>8.9605734767025089E-2</v>
      </c>
      <c r="CW102" s="285">
        <f t="shared" si="94"/>
        <v>8.9605734767025089E-2</v>
      </c>
      <c r="CX102" s="285">
        <f t="shared" si="94"/>
        <v>8.9605734767025089E-2</v>
      </c>
      <c r="CY102" s="285">
        <f t="shared" si="94"/>
        <v>8.9605734767025089E-2</v>
      </c>
      <c r="CZ102" s="285">
        <f t="shared" si="94"/>
        <v>8.9605734767025089E-2</v>
      </c>
      <c r="DA102" s="285">
        <f t="shared" si="94"/>
        <v>8.9605734767025089E-2</v>
      </c>
      <c r="DB102" s="285">
        <f t="shared" si="94"/>
        <v>8.9605734767025089E-2</v>
      </c>
      <c r="DC102" s="285">
        <f t="shared" si="94"/>
        <v>8.9605734767025089E-2</v>
      </c>
      <c r="DD102" s="285">
        <f t="shared" si="94"/>
        <v>8.9605734767025089E-2</v>
      </c>
      <c r="DE102" s="285">
        <f t="shared" si="94"/>
        <v>8.9605734767025089E-2</v>
      </c>
      <c r="DF102" s="285">
        <f t="shared" si="94"/>
        <v>8.9605734767025089E-2</v>
      </c>
      <c r="DG102" s="285">
        <f t="shared" si="94"/>
        <v>8.9605734767025089E-2</v>
      </c>
      <c r="DH102" s="285">
        <f t="shared" si="94"/>
        <v>8.9605734767025089E-2</v>
      </c>
      <c r="DI102" s="285">
        <f t="shared" si="94"/>
        <v>8.9605734767025089E-2</v>
      </c>
      <c r="DJ102" s="285">
        <f t="shared" si="94"/>
        <v>8.9605734767025089E-2</v>
      </c>
      <c r="DK102" s="285">
        <f t="shared" si="94"/>
        <v>8.9605734767025089E-2</v>
      </c>
      <c r="DL102" s="285">
        <f t="shared" si="94"/>
        <v>8.9605734767025089E-2</v>
      </c>
      <c r="DM102" s="285">
        <f t="shared" si="94"/>
        <v>8.9605734767025089E-2</v>
      </c>
      <c r="DN102" s="285">
        <f t="shared" si="94"/>
        <v>8.9605734767025089E-2</v>
      </c>
      <c r="DO102" s="285">
        <f t="shared" si="94"/>
        <v>8.9605734767025089E-2</v>
      </c>
      <c r="DP102" s="285">
        <f t="shared" si="94"/>
        <v>8.9605734767025089E-2</v>
      </c>
      <c r="DQ102" s="285">
        <f t="shared" si="94"/>
        <v>8.9605734767025089E-2</v>
      </c>
      <c r="DR102" s="285">
        <f t="shared" si="94"/>
        <v>8.9605734767025089E-2</v>
      </c>
      <c r="DS102" s="285">
        <f t="shared" si="94"/>
        <v>8.9605734767025089E-2</v>
      </c>
      <c r="DT102" s="285">
        <f t="shared" si="94"/>
        <v>8.9605734767025089E-2</v>
      </c>
      <c r="DU102" s="285">
        <f t="shared" si="94"/>
        <v>8.9605734767025089E-2</v>
      </c>
    </row>
    <row r="103" spans="1:125">
      <c r="A103" s="55"/>
      <c r="B103" s="277" t="str">
        <f t="shared" si="72"/>
        <v>Ограждения для сварочных постов (собственное изготовление)</v>
      </c>
      <c r="C103" s="370">
        <f>E52-E52*Исх.данные!$B$21</f>
        <v>25</v>
      </c>
      <c r="D103" s="383"/>
      <c r="E103" s="305">
        <v>31</v>
      </c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>
        <f>$C$103/$E$103/12</f>
        <v>6.7204301075268813E-2</v>
      </c>
      <c r="Q103" s="285">
        <f t="shared" ref="Q103:CB103" si="95">$C$103/$E$103/12</f>
        <v>6.7204301075268813E-2</v>
      </c>
      <c r="R103" s="285">
        <f t="shared" si="95"/>
        <v>6.7204301075268813E-2</v>
      </c>
      <c r="S103" s="285">
        <f t="shared" si="95"/>
        <v>6.7204301075268813E-2</v>
      </c>
      <c r="T103" s="285">
        <f t="shared" si="95"/>
        <v>6.7204301075268813E-2</v>
      </c>
      <c r="U103" s="285">
        <f t="shared" si="95"/>
        <v>6.7204301075268813E-2</v>
      </c>
      <c r="V103" s="285">
        <f t="shared" si="95"/>
        <v>6.7204301075268813E-2</v>
      </c>
      <c r="W103" s="285">
        <f t="shared" si="95"/>
        <v>6.7204301075268813E-2</v>
      </c>
      <c r="X103" s="285">
        <f t="shared" si="95"/>
        <v>6.7204301075268813E-2</v>
      </c>
      <c r="Y103" s="285">
        <f t="shared" si="95"/>
        <v>6.7204301075268813E-2</v>
      </c>
      <c r="Z103" s="285">
        <f t="shared" si="95"/>
        <v>6.7204301075268813E-2</v>
      </c>
      <c r="AA103" s="285">
        <f t="shared" si="95"/>
        <v>6.7204301075268813E-2</v>
      </c>
      <c r="AB103" s="285">
        <f t="shared" si="95"/>
        <v>6.7204301075268813E-2</v>
      </c>
      <c r="AC103" s="285">
        <f t="shared" si="95"/>
        <v>6.7204301075268813E-2</v>
      </c>
      <c r="AD103" s="285">
        <f t="shared" si="95"/>
        <v>6.7204301075268813E-2</v>
      </c>
      <c r="AE103" s="285">
        <f t="shared" si="95"/>
        <v>6.7204301075268813E-2</v>
      </c>
      <c r="AF103" s="285">
        <f t="shared" si="95"/>
        <v>6.7204301075268813E-2</v>
      </c>
      <c r="AG103" s="285">
        <f t="shared" si="95"/>
        <v>6.7204301075268813E-2</v>
      </c>
      <c r="AH103" s="285">
        <f t="shared" si="95"/>
        <v>6.7204301075268813E-2</v>
      </c>
      <c r="AI103" s="285">
        <f t="shared" si="95"/>
        <v>6.7204301075268813E-2</v>
      </c>
      <c r="AJ103" s="285">
        <f t="shared" si="95"/>
        <v>6.7204301075268813E-2</v>
      </c>
      <c r="AK103" s="285">
        <f t="shared" si="95"/>
        <v>6.7204301075268813E-2</v>
      </c>
      <c r="AL103" s="285">
        <f t="shared" si="95"/>
        <v>6.7204301075268813E-2</v>
      </c>
      <c r="AM103" s="285">
        <f t="shared" si="95"/>
        <v>6.7204301075268813E-2</v>
      </c>
      <c r="AN103" s="285">
        <f t="shared" si="95"/>
        <v>6.7204301075268813E-2</v>
      </c>
      <c r="AO103" s="285">
        <f t="shared" si="95"/>
        <v>6.7204301075268813E-2</v>
      </c>
      <c r="AP103" s="285">
        <f t="shared" si="95"/>
        <v>6.7204301075268813E-2</v>
      </c>
      <c r="AQ103" s="285">
        <f t="shared" si="95"/>
        <v>6.7204301075268813E-2</v>
      </c>
      <c r="AR103" s="285">
        <f t="shared" si="95"/>
        <v>6.7204301075268813E-2</v>
      </c>
      <c r="AS103" s="285">
        <f t="shared" si="95"/>
        <v>6.7204301075268813E-2</v>
      </c>
      <c r="AT103" s="285">
        <f t="shared" si="95"/>
        <v>6.7204301075268813E-2</v>
      </c>
      <c r="AU103" s="285">
        <f t="shared" si="95"/>
        <v>6.7204301075268813E-2</v>
      </c>
      <c r="AV103" s="285">
        <f t="shared" si="95"/>
        <v>6.7204301075268813E-2</v>
      </c>
      <c r="AW103" s="285">
        <f t="shared" si="95"/>
        <v>6.7204301075268813E-2</v>
      </c>
      <c r="AX103" s="285">
        <f t="shared" si="95"/>
        <v>6.7204301075268813E-2</v>
      </c>
      <c r="AY103" s="285">
        <f t="shared" si="95"/>
        <v>6.7204301075268813E-2</v>
      </c>
      <c r="AZ103" s="285">
        <f t="shared" si="95"/>
        <v>6.7204301075268813E-2</v>
      </c>
      <c r="BA103" s="285">
        <f t="shared" si="95"/>
        <v>6.7204301075268813E-2</v>
      </c>
      <c r="BB103" s="285">
        <f t="shared" si="95"/>
        <v>6.7204301075268813E-2</v>
      </c>
      <c r="BC103" s="285">
        <f t="shared" si="95"/>
        <v>6.7204301075268813E-2</v>
      </c>
      <c r="BD103" s="285">
        <f t="shared" si="95"/>
        <v>6.7204301075268813E-2</v>
      </c>
      <c r="BE103" s="285">
        <f t="shared" si="95"/>
        <v>6.7204301075268813E-2</v>
      </c>
      <c r="BF103" s="285">
        <f t="shared" si="95"/>
        <v>6.7204301075268813E-2</v>
      </c>
      <c r="BG103" s="285">
        <f t="shared" si="95"/>
        <v>6.7204301075268813E-2</v>
      </c>
      <c r="BH103" s="285">
        <f t="shared" si="95"/>
        <v>6.7204301075268813E-2</v>
      </c>
      <c r="BI103" s="285">
        <f t="shared" si="95"/>
        <v>6.7204301075268813E-2</v>
      </c>
      <c r="BJ103" s="285">
        <f t="shared" si="95"/>
        <v>6.7204301075268813E-2</v>
      </c>
      <c r="BK103" s="285">
        <f t="shared" si="95"/>
        <v>6.7204301075268813E-2</v>
      </c>
      <c r="BL103" s="285">
        <f t="shared" si="95"/>
        <v>6.7204301075268813E-2</v>
      </c>
      <c r="BM103" s="285">
        <f t="shared" si="95"/>
        <v>6.7204301075268813E-2</v>
      </c>
      <c r="BN103" s="285">
        <f t="shared" si="95"/>
        <v>6.7204301075268813E-2</v>
      </c>
      <c r="BO103" s="285">
        <f t="shared" si="95"/>
        <v>6.7204301075268813E-2</v>
      </c>
      <c r="BP103" s="285">
        <f t="shared" si="95"/>
        <v>6.7204301075268813E-2</v>
      </c>
      <c r="BQ103" s="285">
        <f t="shared" si="95"/>
        <v>6.7204301075268813E-2</v>
      </c>
      <c r="BR103" s="285">
        <f t="shared" si="95"/>
        <v>6.7204301075268813E-2</v>
      </c>
      <c r="BS103" s="285">
        <f t="shared" si="95"/>
        <v>6.7204301075268813E-2</v>
      </c>
      <c r="BT103" s="285">
        <f t="shared" si="95"/>
        <v>6.7204301075268813E-2</v>
      </c>
      <c r="BU103" s="285">
        <f t="shared" si="95"/>
        <v>6.7204301075268813E-2</v>
      </c>
      <c r="BV103" s="285">
        <f t="shared" si="95"/>
        <v>6.7204301075268813E-2</v>
      </c>
      <c r="BW103" s="285">
        <f t="shared" si="95"/>
        <v>6.7204301075268813E-2</v>
      </c>
      <c r="BX103" s="285">
        <f t="shared" si="95"/>
        <v>6.7204301075268813E-2</v>
      </c>
      <c r="BY103" s="285">
        <f t="shared" si="95"/>
        <v>6.7204301075268813E-2</v>
      </c>
      <c r="BZ103" s="285">
        <f t="shared" si="95"/>
        <v>6.7204301075268813E-2</v>
      </c>
      <c r="CA103" s="285">
        <f t="shared" si="95"/>
        <v>6.7204301075268813E-2</v>
      </c>
      <c r="CB103" s="285">
        <f t="shared" si="95"/>
        <v>6.7204301075268813E-2</v>
      </c>
      <c r="CC103" s="285">
        <f t="shared" ref="CC103:DU103" si="96">$C$103/$E$103/12</f>
        <v>6.7204301075268813E-2</v>
      </c>
      <c r="CD103" s="285">
        <f t="shared" si="96"/>
        <v>6.7204301075268813E-2</v>
      </c>
      <c r="CE103" s="285">
        <f t="shared" si="96"/>
        <v>6.7204301075268813E-2</v>
      </c>
      <c r="CF103" s="285">
        <f t="shared" si="96"/>
        <v>6.7204301075268813E-2</v>
      </c>
      <c r="CG103" s="285">
        <f t="shared" si="96"/>
        <v>6.7204301075268813E-2</v>
      </c>
      <c r="CH103" s="285">
        <f t="shared" si="96"/>
        <v>6.7204301075268813E-2</v>
      </c>
      <c r="CI103" s="285">
        <f t="shared" si="96"/>
        <v>6.7204301075268813E-2</v>
      </c>
      <c r="CJ103" s="285">
        <f t="shared" si="96"/>
        <v>6.7204301075268813E-2</v>
      </c>
      <c r="CK103" s="285">
        <f t="shared" si="96"/>
        <v>6.7204301075268813E-2</v>
      </c>
      <c r="CL103" s="285">
        <f t="shared" si="96"/>
        <v>6.7204301075268813E-2</v>
      </c>
      <c r="CM103" s="285">
        <f t="shared" si="96"/>
        <v>6.7204301075268813E-2</v>
      </c>
      <c r="CN103" s="285">
        <f t="shared" si="96"/>
        <v>6.7204301075268813E-2</v>
      </c>
      <c r="CO103" s="285">
        <f t="shared" si="96"/>
        <v>6.7204301075268813E-2</v>
      </c>
      <c r="CP103" s="285">
        <f t="shared" si="96"/>
        <v>6.7204301075268813E-2</v>
      </c>
      <c r="CQ103" s="285">
        <f t="shared" si="96"/>
        <v>6.7204301075268813E-2</v>
      </c>
      <c r="CR103" s="285">
        <f t="shared" si="96"/>
        <v>6.7204301075268813E-2</v>
      </c>
      <c r="CS103" s="285">
        <f t="shared" si="96"/>
        <v>6.7204301075268813E-2</v>
      </c>
      <c r="CT103" s="285">
        <f t="shared" si="96"/>
        <v>6.7204301075268813E-2</v>
      </c>
      <c r="CU103" s="285">
        <f t="shared" si="96"/>
        <v>6.7204301075268813E-2</v>
      </c>
      <c r="CV103" s="285">
        <f t="shared" si="96"/>
        <v>6.7204301075268813E-2</v>
      </c>
      <c r="CW103" s="285">
        <f t="shared" si="96"/>
        <v>6.7204301075268813E-2</v>
      </c>
      <c r="CX103" s="285">
        <f t="shared" si="96"/>
        <v>6.7204301075268813E-2</v>
      </c>
      <c r="CY103" s="285">
        <f t="shared" si="96"/>
        <v>6.7204301075268813E-2</v>
      </c>
      <c r="CZ103" s="285">
        <f t="shared" si="96"/>
        <v>6.7204301075268813E-2</v>
      </c>
      <c r="DA103" s="285">
        <f t="shared" si="96"/>
        <v>6.7204301075268813E-2</v>
      </c>
      <c r="DB103" s="285">
        <f t="shared" si="96"/>
        <v>6.7204301075268813E-2</v>
      </c>
      <c r="DC103" s="285">
        <f t="shared" si="96"/>
        <v>6.7204301075268813E-2</v>
      </c>
      <c r="DD103" s="285">
        <f t="shared" si="96"/>
        <v>6.7204301075268813E-2</v>
      </c>
      <c r="DE103" s="285">
        <f t="shared" si="96"/>
        <v>6.7204301075268813E-2</v>
      </c>
      <c r="DF103" s="285">
        <f t="shared" si="96"/>
        <v>6.7204301075268813E-2</v>
      </c>
      <c r="DG103" s="285">
        <f t="shared" si="96"/>
        <v>6.7204301075268813E-2</v>
      </c>
      <c r="DH103" s="285">
        <f t="shared" si="96"/>
        <v>6.7204301075268813E-2</v>
      </c>
      <c r="DI103" s="285">
        <f t="shared" si="96"/>
        <v>6.7204301075268813E-2</v>
      </c>
      <c r="DJ103" s="285">
        <f t="shared" si="96"/>
        <v>6.7204301075268813E-2</v>
      </c>
      <c r="DK103" s="285">
        <f t="shared" si="96"/>
        <v>6.7204301075268813E-2</v>
      </c>
      <c r="DL103" s="285">
        <f t="shared" si="96"/>
        <v>6.7204301075268813E-2</v>
      </c>
      <c r="DM103" s="285">
        <f t="shared" si="96"/>
        <v>6.7204301075268813E-2</v>
      </c>
      <c r="DN103" s="285">
        <f t="shared" si="96"/>
        <v>6.7204301075268813E-2</v>
      </c>
      <c r="DO103" s="285">
        <f t="shared" si="96"/>
        <v>6.7204301075268813E-2</v>
      </c>
      <c r="DP103" s="285">
        <f t="shared" si="96"/>
        <v>6.7204301075268813E-2</v>
      </c>
      <c r="DQ103" s="285">
        <f t="shared" si="96"/>
        <v>6.7204301075268813E-2</v>
      </c>
      <c r="DR103" s="285">
        <f t="shared" si="96"/>
        <v>6.7204301075268813E-2</v>
      </c>
      <c r="DS103" s="285">
        <f t="shared" si="96"/>
        <v>6.7204301075268813E-2</v>
      </c>
      <c r="DT103" s="285">
        <f t="shared" si="96"/>
        <v>6.7204301075268813E-2</v>
      </c>
      <c r="DU103" s="285">
        <f t="shared" si="96"/>
        <v>6.7204301075268813E-2</v>
      </c>
    </row>
    <row r="104" spans="1:125">
      <c r="A104" s="55"/>
      <c r="B104" s="277" t="str">
        <f t="shared" si="72"/>
        <v>Стойки для хранения сорт/трубн проката/заготовки для рам (собственное изготовление)</v>
      </c>
      <c r="C104" s="370">
        <f>E53-E53*Исх.данные!$B$21</f>
        <v>41.666666666666664</v>
      </c>
      <c r="D104" s="383"/>
      <c r="E104" s="305">
        <v>31</v>
      </c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>
        <f>$C$104/$E$104/12</f>
        <v>0.11200716845878135</v>
      </c>
      <c r="Q104" s="285">
        <f t="shared" ref="Q104:CB104" si="97">$C$104/$E$104/12</f>
        <v>0.11200716845878135</v>
      </c>
      <c r="R104" s="285">
        <f t="shared" si="97"/>
        <v>0.11200716845878135</v>
      </c>
      <c r="S104" s="285">
        <f t="shared" si="97"/>
        <v>0.11200716845878135</v>
      </c>
      <c r="T104" s="285">
        <f t="shared" si="97"/>
        <v>0.11200716845878135</v>
      </c>
      <c r="U104" s="285">
        <f t="shared" si="97"/>
        <v>0.11200716845878135</v>
      </c>
      <c r="V104" s="285">
        <f t="shared" si="97"/>
        <v>0.11200716845878135</v>
      </c>
      <c r="W104" s="285">
        <f t="shared" si="97"/>
        <v>0.11200716845878135</v>
      </c>
      <c r="X104" s="285">
        <f t="shared" si="97"/>
        <v>0.11200716845878135</v>
      </c>
      <c r="Y104" s="285">
        <f t="shared" si="97"/>
        <v>0.11200716845878135</v>
      </c>
      <c r="Z104" s="285">
        <f t="shared" si="97"/>
        <v>0.11200716845878135</v>
      </c>
      <c r="AA104" s="285">
        <f t="shared" si="97"/>
        <v>0.11200716845878135</v>
      </c>
      <c r="AB104" s="285">
        <f t="shared" si="97"/>
        <v>0.11200716845878135</v>
      </c>
      <c r="AC104" s="285">
        <f t="shared" si="97"/>
        <v>0.11200716845878135</v>
      </c>
      <c r="AD104" s="285">
        <f t="shared" si="97"/>
        <v>0.11200716845878135</v>
      </c>
      <c r="AE104" s="285">
        <f t="shared" si="97"/>
        <v>0.11200716845878135</v>
      </c>
      <c r="AF104" s="285">
        <f t="shared" si="97"/>
        <v>0.11200716845878135</v>
      </c>
      <c r="AG104" s="285">
        <f t="shared" si="97"/>
        <v>0.11200716845878135</v>
      </c>
      <c r="AH104" s="285">
        <f t="shared" si="97"/>
        <v>0.11200716845878135</v>
      </c>
      <c r="AI104" s="285">
        <f t="shared" si="97"/>
        <v>0.11200716845878135</v>
      </c>
      <c r="AJ104" s="285">
        <f t="shared" si="97"/>
        <v>0.11200716845878135</v>
      </c>
      <c r="AK104" s="285">
        <f t="shared" si="97"/>
        <v>0.11200716845878135</v>
      </c>
      <c r="AL104" s="285">
        <f t="shared" si="97"/>
        <v>0.11200716845878135</v>
      </c>
      <c r="AM104" s="285">
        <f t="shared" si="97"/>
        <v>0.11200716845878135</v>
      </c>
      <c r="AN104" s="285">
        <f t="shared" si="97"/>
        <v>0.11200716845878135</v>
      </c>
      <c r="AO104" s="285">
        <f t="shared" si="97"/>
        <v>0.11200716845878135</v>
      </c>
      <c r="AP104" s="285">
        <f t="shared" si="97"/>
        <v>0.11200716845878135</v>
      </c>
      <c r="AQ104" s="285">
        <f t="shared" si="97"/>
        <v>0.11200716845878135</v>
      </c>
      <c r="AR104" s="285">
        <f t="shared" si="97"/>
        <v>0.11200716845878135</v>
      </c>
      <c r="AS104" s="285">
        <f t="shared" si="97"/>
        <v>0.11200716845878135</v>
      </c>
      <c r="AT104" s="285">
        <f t="shared" si="97"/>
        <v>0.11200716845878135</v>
      </c>
      <c r="AU104" s="285">
        <f t="shared" si="97"/>
        <v>0.11200716845878135</v>
      </c>
      <c r="AV104" s="285">
        <f t="shared" si="97"/>
        <v>0.11200716845878135</v>
      </c>
      <c r="AW104" s="285">
        <f t="shared" si="97"/>
        <v>0.11200716845878135</v>
      </c>
      <c r="AX104" s="285">
        <f t="shared" si="97"/>
        <v>0.11200716845878135</v>
      </c>
      <c r="AY104" s="285">
        <f t="shared" si="97"/>
        <v>0.11200716845878135</v>
      </c>
      <c r="AZ104" s="285">
        <f t="shared" si="97"/>
        <v>0.11200716845878135</v>
      </c>
      <c r="BA104" s="285">
        <f t="shared" si="97"/>
        <v>0.11200716845878135</v>
      </c>
      <c r="BB104" s="285">
        <f t="shared" si="97"/>
        <v>0.11200716845878135</v>
      </c>
      <c r="BC104" s="285">
        <f t="shared" si="97"/>
        <v>0.11200716845878135</v>
      </c>
      <c r="BD104" s="285">
        <f t="shared" si="97"/>
        <v>0.11200716845878135</v>
      </c>
      <c r="BE104" s="285">
        <f t="shared" si="97"/>
        <v>0.11200716845878135</v>
      </c>
      <c r="BF104" s="285">
        <f t="shared" si="97"/>
        <v>0.11200716845878135</v>
      </c>
      <c r="BG104" s="285">
        <f t="shared" si="97"/>
        <v>0.11200716845878135</v>
      </c>
      <c r="BH104" s="285">
        <f t="shared" si="97"/>
        <v>0.11200716845878135</v>
      </c>
      <c r="BI104" s="285">
        <f t="shared" si="97"/>
        <v>0.11200716845878135</v>
      </c>
      <c r="BJ104" s="285">
        <f t="shared" si="97"/>
        <v>0.11200716845878135</v>
      </c>
      <c r="BK104" s="285">
        <f t="shared" si="97"/>
        <v>0.11200716845878135</v>
      </c>
      <c r="BL104" s="285">
        <f t="shared" si="97"/>
        <v>0.11200716845878135</v>
      </c>
      <c r="BM104" s="285">
        <f t="shared" si="97"/>
        <v>0.11200716845878135</v>
      </c>
      <c r="BN104" s="285">
        <f t="shared" si="97"/>
        <v>0.11200716845878135</v>
      </c>
      <c r="BO104" s="285">
        <f t="shared" si="97"/>
        <v>0.11200716845878135</v>
      </c>
      <c r="BP104" s="285">
        <f t="shared" si="97"/>
        <v>0.11200716845878135</v>
      </c>
      <c r="BQ104" s="285">
        <f t="shared" si="97"/>
        <v>0.11200716845878135</v>
      </c>
      <c r="BR104" s="285">
        <f t="shared" si="97"/>
        <v>0.11200716845878135</v>
      </c>
      <c r="BS104" s="285">
        <f t="shared" si="97"/>
        <v>0.11200716845878135</v>
      </c>
      <c r="BT104" s="285">
        <f t="shared" si="97"/>
        <v>0.11200716845878135</v>
      </c>
      <c r="BU104" s="285">
        <f t="shared" si="97"/>
        <v>0.11200716845878135</v>
      </c>
      <c r="BV104" s="285">
        <f t="shared" si="97"/>
        <v>0.11200716845878135</v>
      </c>
      <c r="BW104" s="285">
        <f t="shared" si="97"/>
        <v>0.11200716845878135</v>
      </c>
      <c r="BX104" s="285">
        <f t="shared" si="97"/>
        <v>0.11200716845878135</v>
      </c>
      <c r="BY104" s="285">
        <f t="shared" si="97"/>
        <v>0.11200716845878135</v>
      </c>
      <c r="BZ104" s="285">
        <f t="shared" si="97"/>
        <v>0.11200716845878135</v>
      </c>
      <c r="CA104" s="285">
        <f t="shared" si="97"/>
        <v>0.11200716845878135</v>
      </c>
      <c r="CB104" s="285">
        <f t="shared" si="97"/>
        <v>0.11200716845878135</v>
      </c>
      <c r="CC104" s="285">
        <f t="shared" ref="CC104:DU104" si="98">$C$104/$E$104/12</f>
        <v>0.11200716845878135</v>
      </c>
      <c r="CD104" s="285">
        <f t="shared" si="98"/>
        <v>0.11200716845878135</v>
      </c>
      <c r="CE104" s="285">
        <f t="shared" si="98"/>
        <v>0.11200716845878135</v>
      </c>
      <c r="CF104" s="285">
        <f t="shared" si="98"/>
        <v>0.11200716845878135</v>
      </c>
      <c r="CG104" s="285">
        <f t="shared" si="98"/>
        <v>0.11200716845878135</v>
      </c>
      <c r="CH104" s="285">
        <f t="shared" si="98"/>
        <v>0.11200716845878135</v>
      </c>
      <c r="CI104" s="285">
        <f t="shared" si="98"/>
        <v>0.11200716845878135</v>
      </c>
      <c r="CJ104" s="285">
        <f t="shared" si="98"/>
        <v>0.11200716845878135</v>
      </c>
      <c r="CK104" s="285">
        <f t="shared" si="98"/>
        <v>0.11200716845878135</v>
      </c>
      <c r="CL104" s="285">
        <f t="shared" si="98"/>
        <v>0.11200716845878135</v>
      </c>
      <c r="CM104" s="285">
        <f t="shared" si="98"/>
        <v>0.11200716845878135</v>
      </c>
      <c r="CN104" s="285">
        <f t="shared" si="98"/>
        <v>0.11200716845878135</v>
      </c>
      <c r="CO104" s="285">
        <f t="shared" si="98"/>
        <v>0.11200716845878135</v>
      </c>
      <c r="CP104" s="285">
        <f t="shared" si="98"/>
        <v>0.11200716845878135</v>
      </c>
      <c r="CQ104" s="285">
        <f t="shared" si="98"/>
        <v>0.11200716845878135</v>
      </c>
      <c r="CR104" s="285">
        <f t="shared" si="98"/>
        <v>0.11200716845878135</v>
      </c>
      <c r="CS104" s="285">
        <f t="shared" si="98"/>
        <v>0.11200716845878135</v>
      </c>
      <c r="CT104" s="285">
        <f t="shared" si="98"/>
        <v>0.11200716845878135</v>
      </c>
      <c r="CU104" s="285">
        <f t="shared" si="98"/>
        <v>0.11200716845878135</v>
      </c>
      <c r="CV104" s="285">
        <f t="shared" si="98"/>
        <v>0.11200716845878135</v>
      </c>
      <c r="CW104" s="285">
        <f t="shared" si="98"/>
        <v>0.11200716845878135</v>
      </c>
      <c r="CX104" s="285">
        <f t="shared" si="98"/>
        <v>0.11200716845878135</v>
      </c>
      <c r="CY104" s="285">
        <f t="shared" si="98"/>
        <v>0.11200716845878135</v>
      </c>
      <c r="CZ104" s="285">
        <f t="shared" si="98"/>
        <v>0.11200716845878135</v>
      </c>
      <c r="DA104" s="285">
        <f t="shared" si="98"/>
        <v>0.11200716845878135</v>
      </c>
      <c r="DB104" s="285">
        <f t="shared" si="98"/>
        <v>0.11200716845878135</v>
      </c>
      <c r="DC104" s="285">
        <f t="shared" si="98"/>
        <v>0.11200716845878135</v>
      </c>
      <c r="DD104" s="285">
        <f t="shared" si="98"/>
        <v>0.11200716845878135</v>
      </c>
      <c r="DE104" s="285">
        <f t="shared" si="98"/>
        <v>0.11200716845878135</v>
      </c>
      <c r="DF104" s="285">
        <f t="shared" si="98"/>
        <v>0.11200716845878135</v>
      </c>
      <c r="DG104" s="285">
        <f t="shared" si="98"/>
        <v>0.11200716845878135</v>
      </c>
      <c r="DH104" s="285">
        <f t="shared" si="98"/>
        <v>0.11200716845878135</v>
      </c>
      <c r="DI104" s="285">
        <f t="shared" si="98"/>
        <v>0.11200716845878135</v>
      </c>
      <c r="DJ104" s="285">
        <f t="shared" si="98"/>
        <v>0.11200716845878135</v>
      </c>
      <c r="DK104" s="285">
        <f t="shared" si="98"/>
        <v>0.11200716845878135</v>
      </c>
      <c r="DL104" s="285">
        <f t="shared" si="98"/>
        <v>0.11200716845878135</v>
      </c>
      <c r="DM104" s="285">
        <f t="shared" si="98"/>
        <v>0.11200716845878135</v>
      </c>
      <c r="DN104" s="285">
        <f t="shared" si="98"/>
        <v>0.11200716845878135</v>
      </c>
      <c r="DO104" s="285">
        <f t="shared" si="98"/>
        <v>0.11200716845878135</v>
      </c>
      <c r="DP104" s="285">
        <f t="shared" si="98"/>
        <v>0.11200716845878135</v>
      </c>
      <c r="DQ104" s="285">
        <f t="shared" si="98"/>
        <v>0.11200716845878135</v>
      </c>
      <c r="DR104" s="285">
        <f t="shared" si="98"/>
        <v>0.11200716845878135</v>
      </c>
      <c r="DS104" s="285">
        <f t="shared" si="98"/>
        <v>0.11200716845878135</v>
      </c>
      <c r="DT104" s="285">
        <f t="shared" si="98"/>
        <v>0.11200716845878135</v>
      </c>
      <c r="DU104" s="285">
        <f t="shared" si="98"/>
        <v>0.11200716845878135</v>
      </c>
    </row>
    <row r="105" spans="1:125">
      <c r="A105" s="55"/>
      <c r="B105" s="277" t="str">
        <f t="shared" si="72"/>
        <v>Угловая шлифмашина AEG WS13-125XE 4935451410</v>
      </c>
      <c r="C105" s="370">
        <f>E54-E54*Исх.данные!$B$21</f>
        <v>26.499999999999996</v>
      </c>
      <c r="D105" s="383"/>
      <c r="E105" s="305">
        <v>31</v>
      </c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>
        <f>$C$105/$E$105/12</f>
        <v>7.1236559139784938E-2</v>
      </c>
      <c r="Q105" s="285">
        <f t="shared" ref="Q105:CB105" si="99">$C$105/$E$105/12</f>
        <v>7.1236559139784938E-2</v>
      </c>
      <c r="R105" s="285">
        <f t="shared" si="99"/>
        <v>7.1236559139784938E-2</v>
      </c>
      <c r="S105" s="285">
        <f t="shared" si="99"/>
        <v>7.1236559139784938E-2</v>
      </c>
      <c r="T105" s="285">
        <f t="shared" si="99"/>
        <v>7.1236559139784938E-2</v>
      </c>
      <c r="U105" s="285">
        <f t="shared" si="99"/>
        <v>7.1236559139784938E-2</v>
      </c>
      <c r="V105" s="285">
        <f t="shared" si="99"/>
        <v>7.1236559139784938E-2</v>
      </c>
      <c r="W105" s="285">
        <f t="shared" si="99"/>
        <v>7.1236559139784938E-2</v>
      </c>
      <c r="X105" s="285">
        <f t="shared" si="99"/>
        <v>7.1236559139784938E-2</v>
      </c>
      <c r="Y105" s="285">
        <f t="shared" si="99"/>
        <v>7.1236559139784938E-2</v>
      </c>
      <c r="Z105" s="285">
        <f t="shared" si="99"/>
        <v>7.1236559139784938E-2</v>
      </c>
      <c r="AA105" s="285">
        <f t="shared" si="99"/>
        <v>7.1236559139784938E-2</v>
      </c>
      <c r="AB105" s="285">
        <f t="shared" si="99"/>
        <v>7.1236559139784938E-2</v>
      </c>
      <c r="AC105" s="285">
        <f t="shared" si="99"/>
        <v>7.1236559139784938E-2</v>
      </c>
      <c r="AD105" s="285">
        <f t="shared" si="99"/>
        <v>7.1236559139784938E-2</v>
      </c>
      <c r="AE105" s="285">
        <f t="shared" si="99"/>
        <v>7.1236559139784938E-2</v>
      </c>
      <c r="AF105" s="285">
        <f t="shared" si="99"/>
        <v>7.1236559139784938E-2</v>
      </c>
      <c r="AG105" s="285">
        <f t="shared" si="99"/>
        <v>7.1236559139784938E-2</v>
      </c>
      <c r="AH105" s="285">
        <f t="shared" si="99"/>
        <v>7.1236559139784938E-2</v>
      </c>
      <c r="AI105" s="285">
        <f t="shared" si="99"/>
        <v>7.1236559139784938E-2</v>
      </c>
      <c r="AJ105" s="285">
        <f t="shared" si="99"/>
        <v>7.1236559139784938E-2</v>
      </c>
      <c r="AK105" s="285">
        <f t="shared" si="99"/>
        <v>7.1236559139784938E-2</v>
      </c>
      <c r="AL105" s="285">
        <f t="shared" si="99"/>
        <v>7.1236559139784938E-2</v>
      </c>
      <c r="AM105" s="285">
        <f t="shared" si="99"/>
        <v>7.1236559139784938E-2</v>
      </c>
      <c r="AN105" s="285">
        <f t="shared" si="99"/>
        <v>7.1236559139784938E-2</v>
      </c>
      <c r="AO105" s="285">
        <f t="shared" si="99"/>
        <v>7.1236559139784938E-2</v>
      </c>
      <c r="AP105" s="285">
        <f t="shared" si="99"/>
        <v>7.1236559139784938E-2</v>
      </c>
      <c r="AQ105" s="285">
        <f t="shared" si="99"/>
        <v>7.1236559139784938E-2</v>
      </c>
      <c r="AR105" s="285">
        <f t="shared" si="99"/>
        <v>7.1236559139784938E-2</v>
      </c>
      <c r="AS105" s="285">
        <f t="shared" si="99"/>
        <v>7.1236559139784938E-2</v>
      </c>
      <c r="AT105" s="285">
        <f t="shared" si="99"/>
        <v>7.1236559139784938E-2</v>
      </c>
      <c r="AU105" s="285">
        <f t="shared" si="99"/>
        <v>7.1236559139784938E-2</v>
      </c>
      <c r="AV105" s="285">
        <f t="shared" si="99"/>
        <v>7.1236559139784938E-2</v>
      </c>
      <c r="AW105" s="285">
        <f t="shared" si="99"/>
        <v>7.1236559139784938E-2</v>
      </c>
      <c r="AX105" s="285">
        <f t="shared" si="99"/>
        <v>7.1236559139784938E-2</v>
      </c>
      <c r="AY105" s="285">
        <f t="shared" si="99"/>
        <v>7.1236559139784938E-2</v>
      </c>
      <c r="AZ105" s="285">
        <f t="shared" si="99"/>
        <v>7.1236559139784938E-2</v>
      </c>
      <c r="BA105" s="285">
        <f t="shared" si="99"/>
        <v>7.1236559139784938E-2</v>
      </c>
      <c r="BB105" s="285">
        <f t="shared" si="99"/>
        <v>7.1236559139784938E-2</v>
      </c>
      <c r="BC105" s="285">
        <f t="shared" si="99"/>
        <v>7.1236559139784938E-2</v>
      </c>
      <c r="BD105" s="285">
        <f t="shared" si="99"/>
        <v>7.1236559139784938E-2</v>
      </c>
      <c r="BE105" s="285">
        <f t="shared" si="99"/>
        <v>7.1236559139784938E-2</v>
      </c>
      <c r="BF105" s="285">
        <f t="shared" si="99"/>
        <v>7.1236559139784938E-2</v>
      </c>
      <c r="BG105" s="285">
        <f t="shared" si="99"/>
        <v>7.1236559139784938E-2</v>
      </c>
      <c r="BH105" s="285">
        <f t="shared" si="99"/>
        <v>7.1236559139784938E-2</v>
      </c>
      <c r="BI105" s="285">
        <f t="shared" si="99"/>
        <v>7.1236559139784938E-2</v>
      </c>
      <c r="BJ105" s="285">
        <f t="shared" si="99"/>
        <v>7.1236559139784938E-2</v>
      </c>
      <c r="BK105" s="285">
        <f t="shared" si="99"/>
        <v>7.1236559139784938E-2</v>
      </c>
      <c r="BL105" s="285">
        <f t="shared" si="99"/>
        <v>7.1236559139784938E-2</v>
      </c>
      <c r="BM105" s="285">
        <f t="shared" si="99"/>
        <v>7.1236559139784938E-2</v>
      </c>
      <c r="BN105" s="285">
        <f t="shared" si="99"/>
        <v>7.1236559139784938E-2</v>
      </c>
      <c r="BO105" s="285">
        <f t="shared" si="99"/>
        <v>7.1236559139784938E-2</v>
      </c>
      <c r="BP105" s="285">
        <f t="shared" si="99"/>
        <v>7.1236559139784938E-2</v>
      </c>
      <c r="BQ105" s="285">
        <f t="shared" si="99"/>
        <v>7.1236559139784938E-2</v>
      </c>
      <c r="BR105" s="285">
        <f t="shared" si="99"/>
        <v>7.1236559139784938E-2</v>
      </c>
      <c r="BS105" s="285">
        <f t="shared" si="99"/>
        <v>7.1236559139784938E-2</v>
      </c>
      <c r="BT105" s="285">
        <f t="shared" si="99"/>
        <v>7.1236559139784938E-2</v>
      </c>
      <c r="BU105" s="285">
        <f t="shared" si="99"/>
        <v>7.1236559139784938E-2</v>
      </c>
      <c r="BV105" s="285">
        <f t="shared" si="99"/>
        <v>7.1236559139784938E-2</v>
      </c>
      <c r="BW105" s="285">
        <f t="shared" si="99"/>
        <v>7.1236559139784938E-2</v>
      </c>
      <c r="BX105" s="285">
        <f t="shared" si="99"/>
        <v>7.1236559139784938E-2</v>
      </c>
      <c r="BY105" s="285">
        <f t="shared" si="99"/>
        <v>7.1236559139784938E-2</v>
      </c>
      <c r="BZ105" s="285">
        <f t="shared" si="99"/>
        <v>7.1236559139784938E-2</v>
      </c>
      <c r="CA105" s="285">
        <f t="shared" si="99"/>
        <v>7.1236559139784938E-2</v>
      </c>
      <c r="CB105" s="285">
        <f t="shared" si="99"/>
        <v>7.1236559139784938E-2</v>
      </c>
      <c r="CC105" s="285">
        <f t="shared" ref="CC105:DU105" si="100">$C$105/$E$105/12</f>
        <v>7.1236559139784938E-2</v>
      </c>
      <c r="CD105" s="285">
        <f t="shared" si="100"/>
        <v>7.1236559139784938E-2</v>
      </c>
      <c r="CE105" s="285">
        <f t="shared" si="100"/>
        <v>7.1236559139784938E-2</v>
      </c>
      <c r="CF105" s="285">
        <f t="shared" si="100"/>
        <v>7.1236559139784938E-2</v>
      </c>
      <c r="CG105" s="285">
        <f t="shared" si="100"/>
        <v>7.1236559139784938E-2</v>
      </c>
      <c r="CH105" s="285">
        <f t="shared" si="100"/>
        <v>7.1236559139784938E-2</v>
      </c>
      <c r="CI105" s="285">
        <f t="shared" si="100"/>
        <v>7.1236559139784938E-2</v>
      </c>
      <c r="CJ105" s="285">
        <f t="shared" si="100"/>
        <v>7.1236559139784938E-2</v>
      </c>
      <c r="CK105" s="285">
        <f t="shared" si="100"/>
        <v>7.1236559139784938E-2</v>
      </c>
      <c r="CL105" s="285">
        <f t="shared" si="100"/>
        <v>7.1236559139784938E-2</v>
      </c>
      <c r="CM105" s="285">
        <f t="shared" si="100"/>
        <v>7.1236559139784938E-2</v>
      </c>
      <c r="CN105" s="285">
        <f t="shared" si="100"/>
        <v>7.1236559139784938E-2</v>
      </c>
      <c r="CO105" s="285">
        <f t="shared" si="100"/>
        <v>7.1236559139784938E-2</v>
      </c>
      <c r="CP105" s="285">
        <f t="shared" si="100"/>
        <v>7.1236559139784938E-2</v>
      </c>
      <c r="CQ105" s="285">
        <f t="shared" si="100"/>
        <v>7.1236559139784938E-2</v>
      </c>
      <c r="CR105" s="285">
        <f t="shared" si="100"/>
        <v>7.1236559139784938E-2</v>
      </c>
      <c r="CS105" s="285">
        <f t="shared" si="100"/>
        <v>7.1236559139784938E-2</v>
      </c>
      <c r="CT105" s="285">
        <f t="shared" si="100"/>
        <v>7.1236559139784938E-2</v>
      </c>
      <c r="CU105" s="285">
        <f t="shared" si="100"/>
        <v>7.1236559139784938E-2</v>
      </c>
      <c r="CV105" s="285">
        <f t="shared" si="100"/>
        <v>7.1236559139784938E-2</v>
      </c>
      <c r="CW105" s="285">
        <f t="shared" si="100"/>
        <v>7.1236559139784938E-2</v>
      </c>
      <c r="CX105" s="285">
        <f t="shared" si="100"/>
        <v>7.1236559139784938E-2</v>
      </c>
      <c r="CY105" s="285">
        <f t="shared" si="100"/>
        <v>7.1236559139784938E-2</v>
      </c>
      <c r="CZ105" s="285">
        <f t="shared" si="100"/>
        <v>7.1236559139784938E-2</v>
      </c>
      <c r="DA105" s="285">
        <f t="shared" si="100"/>
        <v>7.1236559139784938E-2</v>
      </c>
      <c r="DB105" s="285">
        <f t="shared" si="100"/>
        <v>7.1236559139784938E-2</v>
      </c>
      <c r="DC105" s="285">
        <f t="shared" si="100"/>
        <v>7.1236559139784938E-2</v>
      </c>
      <c r="DD105" s="285">
        <f t="shared" si="100"/>
        <v>7.1236559139784938E-2</v>
      </c>
      <c r="DE105" s="285">
        <f t="shared" si="100"/>
        <v>7.1236559139784938E-2</v>
      </c>
      <c r="DF105" s="285">
        <f t="shared" si="100"/>
        <v>7.1236559139784938E-2</v>
      </c>
      <c r="DG105" s="285">
        <f t="shared" si="100"/>
        <v>7.1236559139784938E-2</v>
      </c>
      <c r="DH105" s="285">
        <f t="shared" si="100"/>
        <v>7.1236559139784938E-2</v>
      </c>
      <c r="DI105" s="285">
        <f t="shared" si="100"/>
        <v>7.1236559139784938E-2</v>
      </c>
      <c r="DJ105" s="285">
        <f t="shared" si="100"/>
        <v>7.1236559139784938E-2</v>
      </c>
      <c r="DK105" s="285">
        <f t="shared" si="100"/>
        <v>7.1236559139784938E-2</v>
      </c>
      <c r="DL105" s="285">
        <f t="shared" si="100"/>
        <v>7.1236559139784938E-2</v>
      </c>
      <c r="DM105" s="285">
        <f t="shared" si="100"/>
        <v>7.1236559139784938E-2</v>
      </c>
      <c r="DN105" s="285">
        <f t="shared" si="100"/>
        <v>7.1236559139784938E-2</v>
      </c>
      <c r="DO105" s="285">
        <f t="shared" si="100"/>
        <v>7.1236559139784938E-2</v>
      </c>
      <c r="DP105" s="285">
        <f t="shared" si="100"/>
        <v>7.1236559139784938E-2</v>
      </c>
      <c r="DQ105" s="285">
        <f t="shared" si="100"/>
        <v>7.1236559139784938E-2</v>
      </c>
      <c r="DR105" s="285">
        <f t="shared" si="100"/>
        <v>7.1236559139784938E-2</v>
      </c>
      <c r="DS105" s="285">
        <f t="shared" si="100"/>
        <v>7.1236559139784938E-2</v>
      </c>
      <c r="DT105" s="285">
        <f t="shared" si="100"/>
        <v>7.1236559139784938E-2</v>
      </c>
      <c r="DU105" s="285">
        <f t="shared" si="100"/>
        <v>7.1236559139784938E-2</v>
      </c>
    </row>
    <row r="106" spans="1:125">
      <c r="A106" s="55"/>
      <c r="B106" s="277" t="str">
        <f t="shared" si="72"/>
        <v>Угловая шлифмашина AEG WS 2200-230DMS 4935428500</v>
      </c>
      <c r="C106" s="370">
        <f>E55-E55*Исх.данные!$B$21</f>
        <v>8.3333333333333321</v>
      </c>
      <c r="D106" s="383"/>
      <c r="E106" s="305">
        <v>31</v>
      </c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>
        <f>$C$106/$E$106/12</f>
        <v>2.2401433691756272E-2</v>
      </c>
      <c r="Q106" s="285">
        <f t="shared" ref="Q106:CB106" si="101">$C$106/$E$106/12</f>
        <v>2.2401433691756272E-2</v>
      </c>
      <c r="R106" s="285">
        <f t="shared" si="101"/>
        <v>2.2401433691756272E-2</v>
      </c>
      <c r="S106" s="285">
        <f t="shared" si="101"/>
        <v>2.2401433691756272E-2</v>
      </c>
      <c r="T106" s="285">
        <f t="shared" si="101"/>
        <v>2.2401433691756272E-2</v>
      </c>
      <c r="U106" s="285">
        <f t="shared" si="101"/>
        <v>2.2401433691756272E-2</v>
      </c>
      <c r="V106" s="285">
        <f t="shared" si="101"/>
        <v>2.2401433691756272E-2</v>
      </c>
      <c r="W106" s="285">
        <f t="shared" si="101"/>
        <v>2.2401433691756272E-2</v>
      </c>
      <c r="X106" s="285">
        <f t="shared" si="101"/>
        <v>2.2401433691756272E-2</v>
      </c>
      <c r="Y106" s="285">
        <f t="shared" si="101"/>
        <v>2.2401433691756272E-2</v>
      </c>
      <c r="Z106" s="285">
        <f t="shared" si="101"/>
        <v>2.2401433691756272E-2</v>
      </c>
      <c r="AA106" s="285">
        <f t="shared" si="101"/>
        <v>2.2401433691756272E-2</v>
      </c>
      <c r="AB106" s="285">
        <f t="shared" si="101"/>
        <v>2.2401433691756272E-2</v>
      </c>
      <c r="AC106" s="285">
        <f t="shared" si="101"/>
        <v>2.2401433691756272E-2</v>
      </c>
      <c r="AD106" s="285">
        <f t="shared" si="101"/>
        <v>2.2401433691756272E-2</v>
      </c>
      <c r="AE106" s="285">
        <f t="shared" si="101"/>
        <v>2.2401433691756272E-2</v>
      </c>
      <c r="AF106" s="285">
        <f t="shared" si="101"/>
        <v>2.2401433691756272E-2</v>
      </c>
      <c r="AG106" s="285">
        <f t="shared" si="101"/>
        <v>2.2401433691756272E-2</v>
      </c>
      <c r="AH106" s="285">
        <f t="shared" si="101"/>
        <v>2.2401433691756272E-2</v>
      </c>
      <c r="AI106" s="285">
        <f t="shared" si="101"/>
        <v>2.2401433691756272E-2</v>
      </c>
      <c r="AJ106" s="285">
        <f t="shared" si="101"/>
        <v>2.2401433691756272E-2</v>
      </c>
      <c r="AK106" s="285">
        <f t="shared" si="101"/>
        <v>2.2401433691756272E-2</v>
      </c>
      <c r="AL106" s="285">
        <f t="shared" si="101"/>
        <v>2.2401433691756272E-2</v>
      </c>
      <c r="AM106" s="285">
        <f t="shared" si="101"/>
        <v>2.2401433691756272E-2</v>
      </c>
      <c r="AN106" s="285">
        <f t="shared" si="101"/>
        <v>2.2401433691756272E-2</v>
      </c>
      <c r="AO106" s="285">
        <f t="shared" si="101"/>
        <v>2.2401433691756272E-2</v>
      </c>
      <c r="AP106" s="285">
        <f t="shared" si="101"/>
        <v>2.2401433691756272E-2</v>
      </c>
      <c r="AQ106" s="285">
        <f t="shared" si="101"/>
        <v>2.2401433691756272E-2</v>
      </c>
      <c r="AR106" s="285">
        <f t="shared" si="101"/>
        <v>2.2401433691756272E-2</v>
      </c>
      <c r="AS106" s="285">
        <f t="shared" si="101"/>
        <v>2.2401433691756272E-2</v>
      </c>
      <c r="AT106" s="285">
        <f t="shared" si="101"/>
        <v>2.2401433691756272E-2</v>
      </c>
      <c r="AU106" s="285">
        <f t="shared" si="101"/>
        <v>2.2401433691756272E-2</v>
      </c>
      <c r="AV106" s="285">
        <f t="shared" si="101"/>
        <v>2.2401433691756272E-2</v>
      </c>
      <c r="AW106" s="285">
        <f t="shared" si="101"/>
        <v>2.2401433691756272E-2</v>
      </c>
      <c r="AX106" s="285">
        <f t="shared" si="101"/>
        <v>2.2401433691756272E-2</v>
      </c>
      <c r="AY106" s="285">
        <f t="shared" si="101"/>
        <v>2.2401433691756272E-2</v>
      </c>
      <c r="AZ106" s="285">
        <f t="shared" si="101"/>
        <v>2.2401433691756272E-2</v>
      </c>
      <c r="BA106" s="285">
        <f t="shared" si="101"/>
        <v>2.2401433691756272E-2</v>
      </c>
      <c r="BB106" s="285">
        <f t="shared" si="101"/>
        <v>2.2401433691756272E-2</v>
      </c>
      <c r="BC106" s="285">
        <f t="shared" si="101"/>
        <v>2.2401433691756272E-2</v>
      </c>
      <c r="BD106" s="285">
        <f t="shared" si="101"/>
        <v>2.2401433691756272E-2</v>
      </c>
      <c r="BE106" s="285">
        <f t="shared" si="101"/>
        <v>2.2401433691756272E-2</v>
      </c>
      <c r="BF106" s="285">
        <f t="shared" si="101"/>
        <v>2.2401433691756272E-2</v>
      </c>
      <c r="BG106" s="285">
        <f t="shared" si="101"/>
        <v>2.2401433691756272E-2</v>
      </c>
      <c r="BH106" s="285">
        <f t="shared" si="101"/>
        <v>2.2401433691756272E-2</v>
      </c>
      <c r="BI106" s="285">
        <f t="shared" si="101"/>
        <v>2.2401433691756272E-2</v>
      </c>
      <c r="BJ106" s="285">
        <f t="shared" si="101"/>
        <v>2.2401433691756272E-2</v>
      </c>
      <c r="BK106" s="285">
        <f t="shared" si="101"/>
        <v>2.2401433691756272E-2</v>
      </c>
      <c r="BL106" s="285">
        <f t="shared" si="101"/>
        <v>2.2401433691756272E-2</v>
      </c>
      <c r="BM106" s="285">
        <f t="shared" si="101"/>
        <v>2.2401433691756272E-2</v>
      </c>
      <c r="BN106" s="285">
        <f t="shared" si="101"/>
        <v>2.2401433691756272E-2</v>
      </c>
      <c r="BO106" s="285">
        <f t="shared" si="101"/>
        <v>2.2401433691756272E-2</v>
      </c>
      <c r="BP106" s="285">
        <f t="shared" si="101"/>
        <v>2.2401433691756272E-2</v>
      </c>
      <c r="BQ106" s="285">
        <f t="shared" si="101"/>
        <v>2.2401433691756272E-2</v>
      </c>
      <c r="BR106" s="285">
        <f t="shared" si="101"/>
        <v>2.2401433691756272E-2</v>
      </c>
      <c r="BS106" s="285">
        <f t="shared" si="101"/>
        <v>2.2401433691756272E-2</v>
      </c>
      <c r="BT106" s="285">
        <f t="shared" si="101"/>
        <v>2.2401433691756272E-2</v>
      </c>
      <c r="BU106" s="285">
        <f t="shared" si="101"/>
        <v>2.2401433691756272E-2</v>
      </c>
      <c r="BV106" s="285">
        <f t="shared" si="101"/>
        <v>2.2401433691756272E-2</v>
      </c>
      <c r="BW106" s="285">
        <f t="shared" si="101"/>
        <v>2.2401433691756272E-2</v>
      </c>
      <c r="BX106" s="285">
        <f t="shared" si="101"/>
        <v>2.2401433691756272E-2</v>
      </c>
      <c r="BY106" s="285">
        <f t="shared" si="101"/>
        <v>2.2401433691756272E-2</v>
      </c>
      <c r="BZ106" s="285">
        <f t="shared" si="101"/>
        <v>2.2401433691756272E-2</v>
      </c>
      <c r="CA106" s="285">
        <f t="shared" si="101"/>
        <v>2.2401433691756272E-2</v>
      </c>
      <c r="CB106" s="285">
        <f t="shared" si="101"/>
        <v>2.2401433691756272E-2</v>
      </c>
      <c r="CC106" s="285">
        <f t="shared" ref="CC106:DU106" si="102">$C$106/$E$106/12</f>
        <v>2.2401433691756272E-2</v>
      </c>
      <c r="CD106" s="285">
        <f t="shared" si="102"/>
        <v>2.2401433691756272E-2</v>
      </c>
      <c r="CE106" s="285">
        <f t="shared" si="102"/>
        <v>2.2401433691756272E-2</v>
      </c>
      <c r="CF106" s="285">
        <f t="shared" si="102"/>
        <v>2.2401433691756272E-2</v>
      </c>
      <c r="CG106" s="285">
        <f t="shared" si="102"/>
        <v>2.2401433691756272E-2</v>
      </c>
      <c r="CH106" s="285">
        <f t="shared" si="102"/>
        <v>2.2401433691756272E-2</v>
      </c>
      <c r="CI106" s="285">
        <f t="shared" si="102"/>
        <v>2.2401433691756272E-2</v>
      </c>
      <c r="CJ106" s="285">
        <f t="shared" si="102"/>
        <v>2.2401433691756272E-2</v>
      </c>
      <c r="CK106" s="285">
        <f t="shared" si="102"/>
        <v>2.2401433691756272E-2</v>
      </c>
      <c r="CL106" s="285">
        <f t="shared" si="102"/>
        <v>2.2401433691756272E-2</v>
      </c>
      <c r="CM106" s="285">
        <f t="shared" si="102"/>
        <v>2.2401433691756272E-2</v>
      </c>
      <c r="CN106" s="285">
        <f t="shared" si="102"/>
        <v>2.2401433691756272E-2</v>
      </c>
      <c r="CO106" s="285">
        <f t="shared" si="102"/>
        <v>2.2401433691756272E-2</v>
      </c>
      <c r="CP106" s="285">
        <f t="shared" si="102"/>
        <v>2.2401433691756272E-2</v>
      </c>
      <c r="CQ106" s="285">
        <f t="shared" si="102"/>
        <v>2.2401433691756272E-2</v>
      </c>
      <c r="CR106" s="285">
        <f t="shared" si="102"/>
        <v>2.2401433691756272E-2</v>
      </c>
      <c r="CS106" s="285">
        <f t="shared" si="102"/>
        <v>2.2401433691756272E-2</v>
      </c>
      <c r="CT106" s="285">
        <f t="shared" si="102"/>
        <v>2.2401433691756272E-2</v>
      </c>
      <c r="CU106" s="285">
        <f t="shared" si="102"/>
        <v>2.2401433691756272E-2</v>
      </c>
      <c r="CV106" s="285">
        <f t="shared" si="102"/>
        <v>2.2401433691756272E-2</v>
      </c>
      <c r="CW106" s="285">
        <f t="shared" si="102"/>
        <v>2.2401433691756272E-2</v>
      </c>
      <c r="CX106" s="285">
        <f t="shared" si="102"/>
        <v>2.2401433691756272E-2</v>
      </c>
      <c r="CY106" s="285">
        <f t="shared" si="102"/>
        <v>2.2401433691756272E-2</v>
      </c>
      <c r="CZ106" s="285">
        <f t="shared" si="102"/>
        <v>2.2401433691756272E-2</v>
      </c>
      <c r="DA106" s="285">
        <f t="shared" si="102"/>
        <v>2.2401433691756272E-2</v>
      </c>
      <c r="DB106" s="285">
        <f t="shared" si="102"/>
        <v>2.2401433691756272E-2</v>
      </c>
      <c r="DC106" s="285">
        <f t="shared" si="102"/>
        <v>2.2401433691756272E-2</v>
      </c>
      <c r="DD106" s="285">
        <f t="shared" si="102"/>
        <v>2.2401433691756272E-2</v>
      </c>
      <c r="DE106" s="285">
        <f t="shared" si="102"/>
        <v>2.2401433691756272E-2</v>
      </c>
      <c r="DF106" s="285">
        <f t="shared" si="102"/>
        <v>2.2401433691756272E-2</v>
      </c>
      <c r="DG106" s="285">
        <f t="shared" si="102"/>
        <v>2.2401433691756272E-2</v>
      </c>
      <c r="DH106" s="285">
        <f t="shared" si="102"/>
        <v>2.2401433691756272E-2</v>
      </c>
      <c r="DI106" s="285">
        <f t="shared" si="102"/>
        <v>2.2401433691756272E-2</v>
      </c>
      <c r="DJ106" s="285">
        <f t="shared" si="102"/>
        <v>2.2401433691756272E-2</v>
      </c>
      <c r="DK106" s="285">
        <f t="shared" si="102"/>
        <v>2.2401433691756272E-2</v>
      </c>
      <c r="DL106" s="285">
        <f t="shared" si="102"/>
        <v>2.2401433691756272E-2</v>
      </c>
      <c r="DM106" s="285">
        <f t="shared" si="102"/>
        <v>2.2401433691756272E-2</v>
      </c>
      <c r="DN106" s="285">
        <f t="shared" si="102"/>
        <v>2.2401433691756272E-2</v>
      </c>
      <c r="DO106" s="285">
        <f t="shared" si="102"/>
        <v>2.2401433691756272E-2</v>
      </c>
      <c r="DP106" s="285">
        <f t="shared" si="102"/>
        <v>2.2401433691756272E-2</v>
      </c>
      <c r="DQ106" s="285">
        <f t="shared" si="102"/>
        <v>2.2401433691756272E-2</v>
      </c>
      <c r="DR106" s="285">
        <f t="shared" si="102"/>
        <v>2.2401433691756272E-2</v>
      </c>
      <c r="DS106" s="285">
        <f t="shared" si="102"/>
        <v>2.2401433691756272E-2</v>
      </c>
      <c r="DT106" s="285">
        <f t="shared" si="102"/>
        <v>2.2401433691756272E-2</v>
      </c>
      <c r="DU106" s="285">
        <f t="shared" si="102"/>
        <v>2.2401433691756272E-2</v>
      </c>
    </row>
    <row r="107" spans="1:125">
      <c r="A107" s="55"/>
      <c r="B107" s="277" t="str">
        <f t="shared" si="72"/>
        <v>Комплекты инструментов</v>
      </c>
      <c r="C107" s="370">
        <f>E56-E56*Исх.данные!$B$21</f>
        <v>50</v>
      </c>
      <c r="D107" s="383"/>
      <c r="E107" s="305">
        <v>31</v>
      </c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>
        <f>$C$107/$E$107/12</f>
        <v>0.13440860215053763</v>
      </c>
      <c r="Q107" s="285">
        <f t="shared" ref="Q107:CB107" si="103">$C$107/$E$107/12</f>
        <v>0.13440860215053763</v>
      </c>
      <c r="R107" s="285">
        <f t="shared" si="103"/>
        <v>0.13440860215053763</v>
      </c>
      <c r="S107" s="285">
        <f t="shared" si="103"/>
        <v>0.13440860215053763</v>
      </c>
      <c r="T107" s="285">
        <f t="shared" si="103"/>
        <v>0.13440860215053763</v>
      </c>
      <c r="U107" s="285">
        <f t="shared" si="103"/>
        <v>0.13440860215053763</v>
      </c>
      <c r="V107" s="285">
        <f t="shared" si="103"/>
        <v>0.13440860215053763</v>
      </c>
      <c r="W107" s="285">
        <f t="shared" si="103"/>
        <v>0.13440860215053763</v>
      </c>
      <c r="X107" s="285">
        <f t="shared" si="103"/>
        <v>0.13440860215053763</v>
      </c>
      <c r="Y107" s="285">
        <f t="shared" si="103"/>
        <v>0.13440860215053763</v>
      </c>
      <c r="Z107" s="285">
        <f t="shared" si="103"/>
        <v>0.13440860215053763</v>
      </c>
      <c r="AA107" s="285">
        <f t="shared" si="103"/>
        <v>0.13440860215053763</v>
      </c>
      <c r="AB107" s="285">
        <f t="shared" si="103"/>
        <v>0.13440860215053763</v>
      </c>
      <c r="AC107" s="285">
        <f t="shared" si="103"/>
        <v>0.13440860215053763</v>
      </c>
      <c r="AD107" s="285">
        <f t="shared" si="103"/>
        <v>0.13440860215053763</v>
      </c>
      <c r="AE107" s="285">
        <f t="shared" si="103"/>
        <v>0.13440860215053763</v>
      </c>
      <c r="AF107" s="285">
        <f t="shared" si="103"/>
        <v>0.13440860215053763</v>
      </c>
      <c r="AG107" s="285">
        <f t="shared" si="103"/>
        <v>0.13440860215053763</v>
      </c>
      <c r="AH107" s="285">
        <f t="shared" si="103"/>
        <v>0.13440860215053763</v>
      </c>
      <c r="AI107" s="285">
        <f t="shared" si="103"/>
        <v>0.13440860215053763</v>
      </c>
      <c r="AJ107" s="285">
        <f t="shared" si="103"/>
        <v>0.13440860215053763</v>
      </c>
      <c r="AK107" s="285">
        <f t="shared" si="103"/>
        <v>0.13440860215053763</v>
      </c>
      <c r="AL107" s="285">
        <f t="shared" si="103"/>
        <v>0.13440860215053763</v>
      </c>
      <c r="AM107" s="285">
        <f t="shared" si="103"/>
        <v>0.13440860215053763</v>
      </c>
      <c r="AN107" s="285">
        <f t="shared" si="103"/>
        <v>0.13440860215053763</v>
      </c>
      <c r="AO107" s="285">
        <f t="shared" si="103"/>
        <v>0.13440860215053763</v>
      </c>
      <c r="AP107" s="285">
        <f t="shared" si="103"/>
        <v>0.13440860215053763</v>
      </c>
      <c r="AQ107" s="285">
        <f t="shared" si="103"/>
        <v>0.13440860215053763</v>
      </c>
      <c r="AR107" s="285">
        <f t="shared" si="103"/>
        <v>0.13440860215053763</v>
      </c>
      <c r="AS107" s="285">
        <f t="shared" si="103"/>
        <v>0.13440860215053763</v>
      </c>
      <c r="AT107" s="285">
        <f t="shared" si="103"/>
        <v>0.13440860215053763</v>
      </c>
      <c r="AU107" s="285">
        <f t="shared" si="103"/>
        <v>0.13440860215053763</v>
      </c>
      <c r="AV107" s="285">
        <f t="shared" si="103"/>
        <v>0.13440860215053763</v>
      </c>
      <c r="AW107" s="285">
        <f t="shared" si="103"/>
        <v>0.13440860215053763</v>
      </c>
      <c r="AX107" s="285">
        <f t="shared" si="103"/>
        <v>0.13440860215053763</v>
      </c>
      <c r="AY107" s="285">
        <f t="shared" si="103"/>
        <v>0.13440860215053763</v>
      </c>
      <c r="AZ107" s="285">
        <f t="shared" si="103"/>
        <v>0.13440860215053763</v>
      </c>
      <c r="BA107" s="285">
        <f t="shared" si="103"/>
        <v>0.13440860215053763</v>
      </c>
      <c r="BB107" s="285">
        <f t="shared" si="103"/>
        <v>0.13440860215053763</v>
      </c>
      <c r="BC107" s="285">
        <f t="shared" si="103"/>
        <v>0.13440860215053763</v>
      </c>
      <c r="BD107" s="285">
        <f t="shared" si="103"/>
        <v>0.13440860215053763</v>
      </c>
      <c r="BE107" s="285">
        <f t="shared" si="103"/>
        <v>0.13440860215053763</v>
      </c>
      <c r="BF107" s="285">
        <f t="shared" si="103"/>
        <v>0.13440860215053763</v>
      </c>
      <c r="BG107" s="285">
        <f t="shared" si="103"/>
        <v>0.13440860215053763</v>
      </c>
      <c r="BH107" s="285">
        <f t="shared" si="103"/>
        <v>0.13440860215053763</v>
      </c>
      <c r="BI107" s="285">
        <f t="shared" si="103"/>
        <v>0.13440860215053763</v>
      </c>
      <c r="BJ107" s="285">
        <f t="shared" si="103"/>
        <v>0.13440860215053763</v>
      </c>
      <c r="BK107" s="285">
        <f t="shared" si="103"/>
        <v>0.13440860215053763</v>
      </c>
      <c r="BL107" s="285">
        <f t="shared" si="103"/>
        <v>0.13440860215053763</v>
      </c>
      <c r="BM107" s="285">
        <f t="shared" si="103"/>
        <v>0.13440860215053763</v>
      </c>
      <c r="BN107" s="285">
        <f t="shared" si="103"/>
        <v>0.13440860215053763</v>
      </c>
      <c r="BO107" s="285">
        <f t="shared" si="103"/>
        <v>0.13440860215053763</v>
      </c>
      <c r="BP107" s="285">
        <f t="shared" si="103"/>
        <v>0.13440860215053763</v>
      </c>
      <c r="BQ107" s="285">
        <f t="shared" si="103"/>
        <v>0.13440860215053763</v>
      </c>
      <c r="BR107" s="285">
        <f t="shared" si="103"/>
        <v>0.13440860215053763</v>
      </c>
      <c r="BS107" s="285">
        <f t="shared" si="103"/>
        <v>0.13440860215053763</v>
      </c>
      <c r="BT107" s="285">
        <f t="shared" si="103"/>
        <v>0.13440860215053763</v>
      </c>
      <c r="BU107" s="285">
        <f t="shared" si="103"/>
        <v>0.13440860215053763</v>
      </c>
      <c r="BV107" s="285">
        <f t="shared" si="103"/>
        <v>0.13440860215053763</v>
      </c>
      <c r="BW107" s="285">
        <f t="shared" si="103"/>
        <v>0.13440860215053763</v>
      </c>
      <c r="BX107" s="285">
        <f t="shared" si="103"/>
        <v>0.13440860215053763</v>
      </c>
      <c r="BY107" s="285">
        <f t="shared" si="103"/>
        <v>0.13440860215053763</v>
      </c>
      <c r="BZ107" s="285">
        <f t="shared" si="103"/>
        <v>0.13440860215053763</v>
      </c>
      <c r="CA107" s="285">
        <f t="shared" si="103"/>
        <v>0.13440860215053763</v>
      </c>
      <c r="CB107" s="285">
        <f t="shared" si="103"/>
        <v>0.13440860215053763</v>
      </c>
      <c r="CC107" s="285">
        <f t="shared" ref="CC107:DU107" si="104">$C$107/$E$107/12</f>
        <v>0.13440860215053763</v>
      </c>
      <c r="CD107" s="285">
        <f t="shared" si="104"/>
        <v>0.13440860215053763</v>
      </c>
      <c r="CE107" s="285">
        <f t="shared" si="104"/>
        <v>0.13440860215053763</v>
      </c>
      <c r="CF107" s="285">
        <f t="shared" si="104"/>
        <v>0.13440860215053763</v>
      </c>
      <c r="CG107" s="285">
        <f t="shared" si="104"/>
        <v>0.13440860215053763</v>
      </c>
      <c r="CH107" s="285">
        <f t="shared" si="104"/>
        <v>0.13440860215053763</v>
      </c>
      <c r="CI107" s="285">
        <f t="shared" si="104"/>
        <v>0.13440860215053763</v>
      </c>
      <c r="CJ107" s="285">
        <f t="shared" si="104"/>
        <v>0.13440860215053763</v>
      </c>
      <c r="CK107" s="285">
        <f t="shared" si="104"/>
        <v>0.13440860215053763</v>
      </c>
      <c r="CL107" s="285">
        <f t="shared" si="104"/>
        <v>0.13440860215053763</v>
      </c>
      <c r="CM107" s="285">
        <f t="shared" si="104"/>
        <v>0.13440860215053763</v>
      </c>
      <c r="CN107" s="285">
        <f t="shared" si="104"/>
        <v>0.13440860215053763</v>
      </c>
      <c r="CO107" s="285">
        <f t="shared" si="104"/>
        <v>0.13440860215053763</v>
      </c>
      <c r="CP107" s="285">
        <f t="shared" si="104"/>
        <v>0.13440860215053763</v>
      </c>
      <c r="CQ107" s="285">
        <f t="shared" si="104"/>
        <v>0.13440860215053763</v>
      </c>
      <c r="CR107" s="285">
        <f t="shared" si="104"/>
        <v>0.13440860215053763</v>
      </c>
      <c r="CS107" s="285">
        <f t="shared" si="104"/>
        <v>0.13440860215053763</v>
      </c>
      <c r="CT107" s="285">
        <f t="shared" si="104"/>
        <v>0.13440860215053763</v>
      </c>
      <c r="CU107" s="285">
        <f t="shared" si="104"/>
        <v>0.13440860215053763</v>
      </c>
      <c r="CV107" s="285">
        <f t="shared" si="104"/>
        <v>0.13440860215053763</v>
      </c>
      <c r="CW107" s="285">
        <f t="shared" si="104"/>
        <v>0.13440860215053763</v>
      </c>
      <c r="CX107" s="285">
        <f t="shared" si="104"/>
        <v>0.13440860215053763</v>
      </c>
      <c r="CY107" s="285">
        <f t="shared" si="104"/>
        <v>0.13440860215053763</v>
      </c>
      <c r="CZ107" s="285">
        <f t="shared" si="104"/>
        <v>0.13440860215053763</v>
      </c>
      <c r="DA107" s="285">
        <f t="shared" si="104"/>
        <v>0.13440860215053763</v>
      </c>
      <c r="DB107" s="285">
        <f t="shared" si="104"/>
        <v>0.13440860215053763</v>
      </c>
      <c r="DC107" s="285">
        <f t="shared" si="104"/>
        <v>0.13440860215053763</v>
      </c>
      <c r="DD107" s="285">
        <f t="shared" si="104"/>
        <v>0.13440860215053763</v>
      </c>
      <c r="DE107" s="285">
        <f t="shared" si="104"/>
        <v>0.13440860215053763</v>
      </c>
      <c r="DF107" s="285">
        <f t="shared" si="104"/>
        <v>0.13440860215053763</v>
      </c>
      <c r="DG107" s="285">
        <f t="shared" si="104"/>
        <v>0.13440860215053763</v>
      </c>
      <c r="DH107" s="285">
        <f t="shared" si="104"/>
        <v>0.13440860215053763</v>
      </c>
      <c r="DI107" s="285">
        <f t="shared" si="104"/>
        <v>0.13440860215053763</v>
      </c>
      <c r="DJ107" s="285">
        <f t="shared" si="104"/>
        <v>0.13440860215053763</v>
      </c>
      <c r="DK107" s="285">
        <f t="shared" si="104"/>
        <v>0.13440860215053763</v>
      </c>
      <c r="DL107" s="285">
        <f t="shared" si="104"/>
        <v>0.13440860215053763</v>
      </c>
      <c r="DM107" s="285">
        <f t="shared" si="104"/>
        <v>0.13440860215053763</v>
      </c>
      <c r="DN107" s="285">
        <f t="shared" si="104"/>
        <v>0.13440860215053763</v>
      </c>
      <c r="DO107" s="285">
        <f t="shared" si="104"/>
        <v>0.13440860215053763</v>
      </c>
      <c r="DP107" s="285">
        <f t="shared" si="104"/>
        <v>0.13440860215053763</v>
      </c>
      <c r="DQ107" s="285">
        <f t="shared" si="104"/>
        <v>0.13440860215053763</v>
      </c>
      <c r="DR107" s="285">
        <f t="shared" si="104"/>
        <v>0.13440860215053763</v>
      </c>
      <c r="DS107" s="285">
        <f t="shared" si="104"/>
        <v>0.13440860215053763</v>
      </c>
      <c r="DT107" s="285">
        <f t="shared" si="104"/>
        <v>0.13440860215053763</v>
      </c>
      <c r="DU107" s="285">
        <f t="shared" si="104"/>
        <v>0.13440860215053763</v>
      </c>
    </row>
    <row r="108" spans="1:125">
      <c r="A108" s="55"/>
      <c r="B108" s="277" t="str">
        <f t="shared" si="72"/>
        <v>Дрель-шуруповерт AEG BS18G4-202C 4935478630</v>
      </c>
      <c r="C108" s="370">
        <f>E57-E57*Исх.данные!$B$21</f>
        <v>15.333333333333332</v>
      </c>
      <c r="D108" s="383"/>
      <c r="E108" s="305">
        <v>31</v>
      </c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>
        <f>$C$108/$E$108/12</f>
        <v>4.1218637992831535E-2</v>
      </c>
      <c r="Q108" s="285">
        <f t="shared" ref="Q108:CB108" si="105">$C$108/$E$108/12</f>
        <v>4.1218637992831535E-2</v>
      </c>
      <c r="R108" s="285">
        <f t="shared" si="105"/>
        <v>4.1218637992831535E-2</v>
      </c>
      <c r="S108" s="285">
        <f t="shared" si="105"/>
        <v>4.1218637992831535E-2</v>
      </c>
      <c r="T108" s="285">
        <f t="shared" si="105"/>
        <v>4.1218637992831535E-2</v>
      </c>
      <c r="U108" s="285">
        <f t="shared" si="105"/>
        <v>4.1218637992831535E-2</v>
      </c>
      <c r="V108" s="285">
        <f t="shared" si="105"/>
        <v>4.1218637992831535E-2</v>
      </c>
      <c r="W108" s="285">
        <f t="shared" si="105"/>
        <v>4.1218637992831535E-2</v>
      </c>
      <c r="X108" s="285">
        <f t="shared" si="105"/>
        <v>4.1218637992831535E-2</v>
      </c>
      <c r="Y108" s="285">
        <f t="shared" si="105"/>
        <v>4.1218637992831535E-2</v>
      </c>
      <c r="Z108" s="285">
        <f t="shared" si="105"/>
        <v>4.1218637992831535E-2</v>
      </c>
      <c r="AA108" s="285">
        <f t="shared" si="105"/>
        <v>4.1218637992831535E-2</v>
      </c>
      <c r="AB108" s="285">
        <f t="shared" si="105"/>
        <v>4.1218637992831535E-2</v>
      </c>
      <c r="AC108" s="285">
        <f t="shared" si="105"/>
        <v>4.1218637992831535E-2</v>
      </c>
      <c r="AD108" s="285">
        <f t="shared" si="105"/>
        <v>4.1218637992831535E-2</v>
      </c>
      <c r="AE108" s="285">
        <f t="shared" si="105"/>
        <v>4.1218637992831535E-2</v>
      </c>
      <c r="AF108" s="285">
        <f t="shared" si="105"/>
        <v>4.1218637992831535E-2</v>
      </c>
      <c r="AG108" s="285">
        <f t="shared" si="105"/>
        <v>4.1218637992831535E-2</v>
      </c>
      <c r="AH108" s="285">
        <f t="shared" si="105"/>
        <v>4.1218637992831535E-2</v>
      </c>
      <c r="AI108" s="285">
        <f t="shared" si="105"/>
        <v>4.1218637992831535E-2</v>
      </c>
      <c r="AJ108" s="285">
        <f t="shared" si="105"/>
        <v>4.1218637992831535E-2</v>
      </c>
      <c r="AK108" s="285">
        <f t="shared" si="105"/>
        <v>4.1218637992831535E-2</v>
      </c>
      <c r="AL108" s="285">
        <f t="shared" si="105"/>
        <v>4.1218637992831535E-2</v>
      </c>
      <c r="AM108" s="285">
        <f t="shared" si="105"/>
        <v>4.1218637992831535E-2</v>
      </c>
      <c r="AN108" s="285">
        <f t="shared" si="105"/>
        <v>4.1218637992831535E-2</v>
      </c>
      <c r="AO108" s="285">
        <f t="shared" si="105"/>
        <v>4.1218637992831535E-2</v>
      </c>
      <c r="AP108" s="285">
        <f t="shared" si="105"/>
        <v>4.1218637992831535E-2</v>
      </c>
      <c r="AQ108" s="285">
        <f t="shared" si="105"/>
        <v>4.1218637992831535E-2</v>
      </c>
      <c r="AR108" s="285">
        <f t="shared" si="105"/>
        <v>4.1218637992831535E-2</v>
      </c>
      <c r="AS108" s="285">
        <f t="shared" si="105"/>
        <v>4.1218637992831535E-2</v>
      </c>
      <c r="AT108" s="285">
        <f t="shared" si="105"/>
        <v>4.1218637992831535E-2</v>
      </c>
      <c r="AU108" s="285">
        <f t="shared" si="105"/>
        <v>4.1218637992831535E-2</v>
      </c>
      <c r="AV108" s="285">
        <f t="shared" si="105"/>
        <v>4.1218637992831535E-2</v>
      </c>
      <c r="AW108" s="285">
        <f t="shared" si="105"/>
        <v>4.1218637992831535E-2</v>
      </c>
      <c r="AX108" s="285">
        <f t="shared" si="105"/>
        <v>4.1218637992831535E-2</v>
      </c>
      <c r="AY108" s="285">
        <f t="shared" si="105"/>
        <v>4.1218637992831535E-2</v>
      </c>
      <c r="AZ108" s="285">
        <f t="shared" si="105"/>
        <v>4.1218637992831535E-2</v>
      </c>
      <c r="BA108" s="285">
        <f t="shared" si="105"/>
        <v>4.1218637992831535E-2</v>
      </c>
      <c r="BB108" s="285">
        <f t="shared" si="105"/>
        <v>4.1218637992831535E-2</v>
      </c>
      <c r="BC108" s="285">
        <f t="shared" si="105"/>
        <v>4.1218637992831535E-2</v>
      </c>
      <c r="BD108" s="285">
        <f t="shared" si="105"/>
        <v>4.1218637992831535E-2</v>
      </c>
      <c r="BE108" s="285">
        <f t="shared" si="105"/>
        <v>4.1218637992831535E-2</v>
      </c>
      <c r="BF108" s="285">
        <f t="shared" si="105"/>
        <v>4.1218637992831535E-2</v>
      </c>
      <c r="BG108" s="285">
        <f t="shared" si="105"/>
        <v>4.1218637992831535E-2</v>
      </c>
      <c r="BH108" s="285">
        <f t="shared" si="105"/>
        <v>4.1218637992831535E-2</v>
      </c>
      <c r="BI108" s="285">
        <f t="shared" si="105"/>
        <v>4.1218637992831535E-2</v>
      </c>
      <c r="BJ108" s="285">
        <f t="shared" si="105"/>
        <v>4.1218637992831535E-2</v>
      </c>
      <c r="BK108" s="285">
        <f t="shared" si="105"/>
        <v>4.1218637992831535E-2</v>
      </c>
      <c r="BL108" s="285">
        <f t="shared" si="105"/>
        <v>4.1218637992831535E-2</v>
      </c>
      <c r="BM108" s="285">
        <f t="shared" si="105"/>
        <v>4.1218637992831535E-2</v>
      </c>
      <c r="BN108" s="285">
        <f t="shared" si="105"/>
        <v>4.1218637992831535E-2</v>
      </c>
      <c r="BO108" s="285">
        <f t="shared" si="105"/>
        <v>4.1218637992831535E-2</v>
      </c>
      <c r="BP108" s="285">
        <f t="shared" si="105"/>
        <v>4.1218637992831535E-2</v>
      </c>
      <c r="BQ108" s="285">
        <f t="shared" si="105"/>
        <v>4.1218637992831535E-2</v>
      </c>
      <c r="BR108" s="285">
        <f t="shared" si="105"/>
        <v>4.1218637992831535E-2</v>
      </c>
      <c r="BS108" s="285">
        <f t="shared" si="105"/>
        <v>4.1218637992831535E-2</v>
      </c>
      <c r="BT108" s="285">
        <f t="shared" si="105"/>
        <v>4.1218637992831535E-2</v>
      </c>
      <c r="BU108" s="285">
        <f t="shared" si="105"/>
        <v>4.1218637992831535E-2</v>
      </c>
      <c r="BV108" s="285">
        <f t="shared" si="105"/>
        <v>4.1218637992831535E-2</v>
      </c>
      <c r="BW108" s="285">
        <f t="shared" si="105"/>
        <v>4.1218637992831535E-2</v>
      </c>
      <c r="BX108" s="285">
        <f t="shared" si="105"/>
        <v>4.1218637992831535E-2</v>
      </c>
      <c r="BY108" s="285">
        <f t="shared" si="105"/>
        <v>4.1218637992831535E-2</v>
      </c>
      <c r="BZ108" s="285">
        <f t="shared" si="105"/>
        <v>4.1218637992831535E-2</v>
      </c>
      <c r="CA108" s="285">
        <f t="shared" si="105"/>
        <v>4.1218637992831535E-2</v>
      </c>
      <c r="CB108" s="285">
        <f t="shared" si="105"/>
        <v>4.1218637992831535E-2</v>
      </c>
      <c r="CC108" s="285">
        <f t="shared" ref="CC108:DU108" si="106">$C$108/$E$108/12</f>
        <v>4.1218637992831535E-2</v>
      </c>
      <c r="CD108" s="285">
        <f t="shared" si="106"/>
        <v>4.1218637992831535E-2</v>
      </c>
      <c r="CE108" s="285">
        <f t="shared" si="106"/>
        <v>4.1218637992831535E-2</v>
      </c>
      <c r="CF108" s="285">
        <f t="shared" si="106"/>
        <v>4.1218637992831535E-2</v>
      </c>
      <c r="CG108" s="285">
        <f t="shared" si="106"/>
        <v>4.1218637992831535E-2</v>
      </c>
      <c r="CH108" s="285">
        <f t="shared" si="106"/>
        <v>4.1218637992831535E-2</v>
      </c>
      <c r="CI108" s="285">
        <f t="shared" si="106"/>
        <v>4.1218637992831535E-2</v>
      </c>
      <c r="CJ108" s="285">
        <f t="shared" si="106"/>
        <v>4.1218637992831535E-2</v>
      </c>
      <c r="CK108" s="285">
        <f t="shared" si="106"/>
        <v>4.1218637992831535E-2</v>
      </c>
      <c r="CL108" s="285">
        <f t="shared" si="106"/>
        <v>4.1218637992831535E-2</v>
      </c>
      <c r="CM108" s="285">
        <f t="shared" si="106"/>
        <v>4.1218637992831535E-2</v>
      </c>
      <c r="CN108" s="285">
        <f t="shared" si="106"/>
        <v>4.1218637992831535E-2</v>
      </c>
      <c r="CO108" s="285">
        <f t="shared" si="106"/>
        <v>4.1218637992831535E-2</v>
      </c>
      <c r="CP108" s="285">
        <f t="shared" si="106"/>
        <v>4.1218637992831535E-2</v>
      </c>
      <c r="CQ108" s="285">
        <f t="shared" si="106"/>
        <v>4.1218637992831535E-2</v>
      </c>
      <c r="CR108" s="285">
        <f t="shared" si="106"/>
        <v>4.1218637992831535E-2</v>
      </c>
      <c r="CS108" s="285">
        <f t="shared" si="106"/>
        <v>4.1218637992831535E-2</v>
      </c>
      <c r="CT108" s="285">
        <f t="shared" si="106"/>
        <v>4.1218637992831535E-2</v>
      </c>
      <c r="CU108" s="285">
        <f t="shared" si="106"/>
        <v>4.1218637992831535E-2</v>
      </c>
      <c r="CV108" s="285">
        <f t="shared" si="106"/>
        <v>4.1218637992831535E-2</v>
      </c>
      <c r="CW108" s="285">
        <f t="shared" si="106"/>
        <v>4.1218637992831535E-2</v>
      </c>
      <c r="CX108" s="285">
        <f t="shared" si="106"/>
        <v>4.1218637992831535E-2</v>
      </c>
      <c r="CY108" s="285">
        <f t="shared" si="106"/>
        <v>4.1218637992831535E-2</v>
      </c>
      <c r="CZ108" s="285">
        <f t="shared" si="106"/>
        <v>4.1218637992831535E-2</v>
      </c>
      <c r="DA108" s="285">
        <f t="shared" si="106"/>
        <v>4.1218637992831535E-2</v>
      </c>
      <c r="DB108" s="285">
        <f t="shared" si="106"/>
        <v>4.1218637992831535E-2</v>
      </c>
      <c r="DC108" s="285">
        <f t="shared" si="106"/>
        <v>4.1218637992831535E-2</v>
      </c>
      <c r="DD108" s="285">
        <f t="shared" si="106"/>
        <v>4.1218637992831535E-2</v>
      </c>
      <c r="DE108" s="285">
        <f t="shared" si="106"/>
        <v>4.1218637992831535E-2</v>
      </c>
      <c r="DF108" s="285">
        <f t="shared" si="106"/>
        <v>4.1218637992831535E-2</v>
      </c>
      <c r="DG108" s="285">
        <f t="shared" si="106"/>
        <v>4.1218637992831535E-2</v>
      </c>
      <c r="DH108" s="285">
        <f t="shared" si="106"/>
        <v>4.1218637992831535E-2</v>
      </c>
      <c r="DI108" s="285">
        <f t="shared" si="106"/>
        <v>4.1218637992831535E-2</v>
      </c>
      <c r="DJ108" s="285">
        <f t="shared" si="106"/>
        <v>4.1218637992831535E-2</v>
      </c>
      <c r="DK108" s="285">
        <f t="shared" si="106"/>
        <v>4.1218637992831535E-2</v>
      </c>
      <c r="DL108" s="285">
        <f t="shared" si="106"/>
        <v>4.1218637992831535E-2</v>
      </c>
      <c r="DM108" s="285">
        <f t="shared" si="106"/>
        <v>4.1218637992831535E-2</v>
      </c>
      <c r="DN108" s="285">
        <f t="shared" si="106"/>
        <v>4.1218637992831535E-2</v>
      </c>
      <c r="DO108" s="285">
        <f t="shared" si="106"/>
        <v>4.1218637992831535E-2</v>
      </c>
      <c r="DP108" s="285">
        <f t="shared" si="106"/>
        <v>4.1218637992831535E-2</v>
      </c>
      <c r="DQ108" s="285">
        <f t="shared" si="106"/>
        <v>4.1218637992831535E-2</v>
      </c>
      <c r="DR108" s="285">
        <f t="shared" si="106"/>
        <v>4.1218637992831535E-2</v>
      </c>
      <c r="DS108" s="285">
        <f t="shared" si="106"/>
        <v>4.1218637992831535E-2</v>
      </c>
      <c r="DT108" s="285">
        <f t="shared" si="106"/>
        <v>4.1218637992831535E-2</v>
      </c>
      <c r="DU108" s="285">
        <f t="shared" si="106"/>
        <v>4.1218637992831535E-2</v>
      </c>
    </row>
    <row r="109" spans="1:125">
      <c r="A109" s="55"/>
      <c r="B109" s="277" t="str">
        <f t="shared" si="72"/>
        <v xml:space="preserve">Газовые балоны </v>
      </c>
      <c r="C109" s="370">
        <f>E58-E58*Исх.данные!$B$21</f>
        <v>82.5</v>
      </c>
      <c r="D109" s="383"/>
      <c r="E109" s="305">
        <v>31</v>
      </c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>
        <f>$C$109/$E$109/12</f>
        <v>0.22177419354838709</v>
      </c>
      <c r="Q109" s="285">
        <f t="shared" ref="Q109:CB109" si="107">$C$109/$E$109/12</f>
        <v>0.22177419354838709</v>
      </c>
      <c r="R109" s="285">
        <f t="shared" si="107"/>
        <v>0.22177419354838709</v>
      </c>
      <c r="S109" s="285">
        <f t="shared" si="107"/>
        <v>0.22177419354838709</v>
      </c>
      <c r="T109" s="285">
        <f t="shared" si="107"/>
        <v>0.22177419354838709</v>
      </c>
      <c r="U109" s="285">
        <f t="shared" si="107"/>
        <v>0.22177419354838709</v>
      </c>
      <c r="V109" s="285">
        <f t="shared" si="107"/>
        <v>0.22177419354838709</v>
      </c>
      <c r="W109" s="285">
        <f t="shared" si="107"/>
        <v>0.22177419354838709</v>
      </c>
      <c r="X109" s="285">
        <f t="shared" si="107"/>
        <v>0.22177419354838709</v>
      </c>
      <c r="Y109" s="285">
        <f t="shared" si="107"/>
        <v>0.22177419354838709</v>
      </c>
      <c r="Z109" s="285">
        <f t="shared" si="107"/>
        <v>0.22177419354838709</v>
      </c>
      <c r="AA109" s="285">
        <f t="shared" si="107"/>
        <v>0.22177419354838709</v>
      </c>
      <c r="AB109" s="285">
        <f t="shared" si="107"/>
        <v>0.22177419354838709</v>
      </c>
      <c r="AC109" s="285">
        <f t="shared" si="107"/>
        <v>0.22177419354838709</v>
      </c>
      <c r="AD109" s="285">
        <f t="shared" si="107"/>
        <v>0.22177419354838709</v>
      </c>
      <c r="AE109" s="285">
        <f t="shared" si="107"/>
        <v>0.22177419354838709</v>
      </c>
      <c r="AF109" s="285">
        <f t="shared" si="107"/>
        <v>0.22177419354838709</v>
      </c>
      <c r="AG109" s="285">
        <f t="shared" si="107"/>
        <v>0.22177419354838709</v>
      </c>
      <c r="AH109" s="285">
        <f t="shared" si="107"/>
        <v>0.22177419354838709</v>
      </c>
      <c r="AI109" s="285">
        <f t="shared" si="107"/>
        <v>0.22177419354838709</v>
      </c>
      <c r="AJ109" s="285">
        <f t="shared" si="107"/>
        <v>0.22177419354838709</v>
      </c>
      <c r="AK109" s="285">
        <f t="shared" si="107"/>
        <v>0.22177419354838709</v>
      </c>
      <c r="AL109" s="285">
        <f t="shared" si="107"/>
        <v>0.22177419354838709</v>
      </c>
      <c r="AM109" s="285">
        <f t="shared" si="107"/>
        <v>0.22177419354838709</v>
      </c>
      <c r="AN109" s="285">
        <f t="shared" si="107"/>
        <v>0.22177419354838709</v>
      </c>
      <c r="AO109" s="285">
        <f t="shared" si="107"/>
        <v>0.22177419354838709</v>
      </c>
      <c r="AP109" s="285">
        <f t="shared" si="107"/>
        <v>0.22177419354838709</v>
      </c>
      <c r="AQ109" s="285">
        <f t="shared" si="107"/>
        <v>0.22177419354838709</v>
      </c>
      <c r="AR109" s="285">
        <f t="shared" si="107"/>
        <v>0.22177419354838709</v>
      </c>
      <c r="AS109" s="285">
        <f t="shared" si="107"/>
        <v>0.22177419354838709</v>
      </c>
      <c r="AT109" s="285">
        <f t="shared" si="107"/>
        <v>0.22177419354838709</v>
      </c>
      <c r="AU109" s="285">
        <f t="shared" si="107"/>
        <v>0.22177419354838709</v>
      </c>
      <c r="AV109" s="285">
        <f t="shared" si="107"/>
        <v>0.22177419354838709</v>
      </c>
      <c r="AW109" s="285">
        <f t="shared" si="107"/>
        <v>0.22177419354838709</v>
      </c>
      <c r="AX109" s="285">
        <f t="shared" si="107"/>
        <v>0.22177419354838709</v>
      </c>
      <c r="AY109" s="285">
        <f t="shared" si="107"/>
        <v>0.22177419354838709</v>
      </c>
      <c r="AZ109" s="285">
        <f t="shared" si="107"/>
        <v>0.22177419354838709</v>
      </c>
      <c r="BA109" s="285">
        <f t="shared" si="107"/>
        <v>0.22177419354838709</v>
      </c>
      <c r="BB109" s="285">
        <f t="shared" si="107"/>
        <v>0.22177419354838709</v>
      </c>
      <c r="BC109" s="285">
        <f t="shared" si="107"/>
        <v>0.22177419354838709</v>
      </c>
      <c r="BD109" s="285">
        <f t="shared" si="107"/>
        <v>0.22177419354838709</v>
      </c>
      <c r="BE109" s="285">
        <f t="shared" si="107"/>
        <v>0.22177419354838709</v>
      </c>
      <c r="BF109" s="285">
        <f t="shared" si="107"/>
        <v>0.22177419354838709</v>
      </c>
      <c r="BG109" s="285">
        <f t="shared" si="107"/>
        <v>0.22177419354838709</v>
      </c>
      <c r="BH109" s="285">
        <f t="shared" si="107"/>
        <v>0.22177419354838709</v>
      </c>
      <c r="BI109" s="285">
        <f t="shared" si="107"/>
        <v>0.22177419354838709</v>
      </c>
      <c r="BJ109" s="285">
        <f t="shared" si="107"/>
        <v>0.22177419354838709</v>
      </c>
      <c r="BK109" s="285">
        <f t="shared" si="107"/>
        <v>0.22177419354838709</v>
      </c>
      <c r="BL109" s="285">
        <f t="shared" si="107"/>
        <v>0.22177419354838709</v>
      </c>
      <c r="BM109" s="285">
        <f t="shared" si="107"/>
        <v>0.22177419354838709</v>
      </c>
      <c r="BN109" s="285">
        <f t="shared" si="107"/>
        <v>0.22177419354838709</v>
      </c>
      <c r="BO109" s="285">
        <f t="shared" si="107"/>
        <v>0.22177419354838709</v>
      </c>
      <c r="BP109" s="285">
        <f t="shared" si="107"/>
        <v>0.22177419354838709</v>
      </c>
      <c r="BQ109" s="285">
        <f t="shared" si="107"/>
        <v>0.22177419354838709</v>
      </c>
      <c r="BR109" s="285">
        <f t="shared" si="107"/>
        <v>0.22177419354838709</v>
      </c>
      <c r="BS109" s="285">
        <f t="shared" si="107"/>
        <v>0.22177419354838709</v>
      </c>
      <c r="BT109" s="285">
        <f t="shared" si="107"/>
        <v>0.22177419354838709</v>
      </c>
      <c r="BU109" s="285">
        <f t="shared" si="107"/>
        <v>0.22177419354838709</v>
      </c>
      <c r="BV109" s="285">
        <f t="shared" si="107"/>
        <v>0.22177419354838709</v>
      </c>
      <c r="BW109" s="285">
        <f t="shared" si="107"/>
        <v>0.22177419354838709</v>
      </c>
      <c r="BX109" s="285">
        <f t="shared" si="107"/>
        <v>0.22177419354838709</v>
      </c>
      <c r="BY109" s="285">
        <f t="shared" si="107"/>
        <v>0.22177419354838709</v>
      </c>
      <c r="BZ109" s="285">
        <f t="shared" si="107"/>
        <v>0.22177419354838709</v>
      </c>
      <c r="CA109" s="285">
        <f t="shared" si="107"/>
        <v>0.22177419354838709</v>
      </c>
      <c r="CB109" s="285">
        <f t="shared" si="107"/>
        <v>0.22177419354838709</v>
      </c>
      <c r="CC109" s="285">
        <f t="shared" ref="CC109:DU109" si="108">$C$109/$E$109/12</f>
        <v>0.22177419354838709</v>
      </c>
      <c r="CD109" s="285">
        <f t="shared" si="108"/>
        <v>0.22177419354838709</v>
      </c>
      <c r="CE109" s="285">
        <f t="shared" si="108"/>
        <v>0.22177419354838709</v>
      </c>
      <c r="CF109" s="285">
        <f t="shared" si="108"/>
        <v>0.22177419354838709</v>
      </c>
      <c r="CG109" s="285">
        <f t="shared" si="108"/>
        <v>0.22177419354838709</v>
      </c>
      <c r="CH109" s="285">
        <f t="shared" si="108"/>
        <v>0.22177419354838709</v>
      </c>
      <c r="CI109" s="285">
        <f t="shared" si="108"/>
        <v>0.22177419354838709</v>
      </c>
      <c r="CJ109" s="285">
        <f t="shared" si="108"/>
        <v>0.22177419354838709</v>
      </c>
      <c r="CK109" s="285">
        <f t="shared" si="108"/>
        <v>0.22177419354838709</v>
      </c>
      <c r="CL109" s="285">
        <f t="shared" si="108"/>
        <v>0.22177419354838709</v>
      </c>
      <c r="CM109" s="285">
        <f t="shared" si="108"/>
        <v>0.22177419354838709</v>
      </c>
      <c r="CN109" s="285">
        <f t="shared" si="108"/>
        <v>0.22177419354838709</v>
      </c>
      <c r="CO109" s="285">
        <f t="shared" si="108"/>
        <v>0.22177419354838709</v>
      </c>
      <c r="CP109" s="285">
        <f t="shared" si="108"/>
        <v>0.22177419354838709</v>
      </c>
      <c r="CQ109" s="285">
        <f t="shared" si="108"/>
        <v>0.22177419354838709</v>
      </c>
      <c r="CR109" s="285">
        <f t="shared" si="108"/>
        <v>0.22177419354838709</v>
      </c>
      <c r="CS109" s="285">
        <f t="shared" si="108"/>
        <v>0.22177419354838709</v>
      </c>
      <c r="CT109" s="285">
        <f t="shared" si="108"/>
        <v>0.22177419354838709</v>
      </c>
      <c r="CU109" s="285">
        <f t="shared" si="108"/>
        <v>0.22177419354838709</v>
      </c>
      <c r="CV109" s="285">
        <f t="shared" si="108"/>
        <v>0.22177419354838709</v>
      </c>
      <c r="CW109" s="285">
        <f t="shared" si="108"/>
        <v>0.22177419354838709</v>
      </c>
      <c r="CX109" s="285">
        <f t="shared" si="108"/>
        <v>0.22177419354838709</v>
      </c>
      <c r="CY109" s="285">
        <f t="shared" si="108"/>
        <v>0.22177419354838709</v>
      </c>
      <c r="CZ109" s="285">
        <f t="shared" si="108"/>
        <v>0.22177419354838709</v>
      </c>
      <c r="DA109" s="285">
        <f t="shared" si="108"/>
        <v>0.22177419354838709</v>
      </c>
      <c r="DB109" s="285">
        <f t="shared" si="108"/>
        <v>0.22177419354838709</v>
      </c>
      <c r="DC109" s="285">
        <f t="shared" si="108"/>
        <v>0.22177419354838709</v>
      </c>
      <c r="DD109" s="285">
        <f t="shared" si="108"/>
        <v>0.22177419354838709</v>
      </c>
      <c r="DE109" s="285">
        <f t="shared" si="108"/>
        <v>0.22177419354838709</v>
      </c>
      <c r="DF109" s="285">
        <f t="shared" si="108"/>
        <v>0.22177419354838709</v>
      </c>
      <c r="DG109" s="285">
        <f t="shared" si="108"/>
        <v>0.22177419354838709</v>
      </c>
      <c r="DH109" s="285">
        <f t="shared" si="108"/>
        <v>0.22177419354838709</v>
      </c>
      <c r="DI109" s="285">
        <f t="shared" si="108"/>
        <v>0.22177419354838709</v>
      </c>
      <c r="DJ109" s="285">
        <f t="shared" si="108"/>
        <v>0.22177419354838709</v>
      </c>
      <c r="DK109" s="285">
        <f t="shared" si="108"/>
        <v>0.22177419354838709</v>
      </c>
      <c r="DL109" s="285">
        <f t="shared" si="108"/>
        <v>0.22177419354838709</v>
      </c>
      <c r="DM109" s="285">
        <f t="shared" si="108"/>
        <v>0.22177419354838709</v>
      </c>
      <c r="DN109" s="285">
        <f t="shared" si="108"/>
        <v>0.22177419354838709</v>
      </c>
      <c r="DO109" s="285">
        <f t="shared" si="108"/>
        <v>0.22177419354838709</v>
      </c>
      <c r="DP109" s="285">
        <f t="shared" si="108"/>
        <v>0.22177419354838709</v>
      </c>
      <c r="DQ109" s="285">
        <f t="shared" si="108"/>
        <v>0.22177419354838709</v>
      </c>
      <c r="DR109" s="285">
        <f t="shared" si="108"/>
        <v>0.22177419354838709</v>
      </c>
      <c r="DS109" s="285">
        <f t="shared" si="108"/>
        <v>0.22177419354838709</v>
      </c>
      <c r="DT109" s="285">
        <f t="shared" si="108"/>
        <v>0.22177419354838709</v>
      </c>
      <c r="DU109" s="285">
        <f t="shared" si="108"/>
        <v>0.22177419354838709</v>
      </c>
    </row>
    <row r="110" spans="1:125">
      <c r="A110" s="55"/>
      <c r="B110" s="277" t="str">
        <f t="shared" si="72"/>
        <v>Верстаки</v>
      </c>
      <c r="C110" s="370">
        <f>E59-E59*Исх.данные!$B$21</f>
        <v>38.333333333333329</v>
      </c>
      <c r="D110" s="383"/>
      <c r="E110" s="305">
        <v>31</v>
      </c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>
        <f>$C$110/$E$110/12</f>
        <v>0.10304659498207884</v>
      </c>
      <c r="Q110" s="285">
        <f t="shared" ref="Q110:CB110" si="109">$C$110/$E$110/12</f>
        <v>0.10304659498207884</v>
      </c>
      <c r="R110" s="285">
        <f t="shared" si="109"/>
        <v>0.10304659498207884</v>
      </c>
      <c r="S110" s="285">
        <f t="shared" si="109"/>
        <v>0.10304659498207884</v>
      </c>
      <c r="T110" s="285">
        <f t="shared" si="109"/>
        <v>0.10304659498207884</v>
      </c>
      <c r="U110" s="285">
        <f t="shared" si="109"/>
        <v>0.10304659498207884</v>
      </c>
      <c r="V110" s="285">
        <f t="shared" si="109"/>
        <v>0.10304659498207884</v>
      </c>
      <c r="W110" s="285">
        <f t="shared" si="109"/>
        <v>0.10304659498207884</v>
      </c>
      <c r="X110" s="285">
        <f t="shared" si="109"/>
        <v>0.10304659498207884</v>
      </c>
      <c r="Y110" s="285">
        <f t="shared" si="109"/>
        <v>0.10304659498207884</v>
      </c>
      <c r="Z110" s="285">
        <f t="shared" si="109"/>
        <v>0.10304659498207884</v>
      </c>
      <c r="AA110" s="285">
        <f t="shared" si="109"/>
        <v>0.10304659498207884</v>
      </c>
      <c r="AB110" s="285">
        <f t="shared" si="109"/>
        <v>0.10304659498207884</v>
      </c>
      <c r="AC110" s="285">
        <f t="shared" si="109"/>
        <v>0.10304659498207884</v>
      </c>
      <c r="AD110" s="285">
        <f t="shared" si="109"/>
        <v>0.10304659498207884</v>
      </c>
      <c r="AE110" s="285">
        <f t="shared" si="109"/>
        <v>0.10304659498207884</v>
      </c>
      <c r="AF110" s="285">
        <f t="shared" si="109"/>
        <v>0.10304659498207884</v>
      </c>
      <c r="AG110" s="285">
        <f t="shared" si="109"/>
        <v>0.10304659498207884</v>
      </c>
      <c r="AH110" s="285">
        <f t="shared" si="109"/>
        <v>0.10304659498207884</v>
      </c>
      <c r="AI110" s="285">
        <f t="shared" si="109"/>
        <v>0.10304659498207884</v>
      </c>
      <c r="AJ110" s="285">
        <f t="shared" si="109"/>
        <v>0.10304659498207884</v>
      </c>
      <c r="AK110" s="285">
        <f t="shared" si="109"/>
        <v>0.10304659498207884</v>
      </c>
      <c r="AL110" s="285">
        <f t="shared" si="109"/>
        <v>0.10304659498207884</v>
      </c>
      <c r="AM110" s="285">
        <f t="shared" si="109"/>
        <v>0.10304659498207884</v>
      </c>
      <c r="AN110" s="285">
        <f t="shared" si="109"/>
        <v>0.10304659498207884</v>
      </c>
      <c r="AO110" s="285">
        <f t="shared" si="109"/>
        <v>0.10304659498207884</v>
      </c>
      <c r="AP110" s="285">
        <f t="shared" si="109"/>
        <v>0.10304659498207884</v>
      </c>
      <c r="AQ110" s="285">
        <f t="shared" si="109"/>
        <v>0.10304659498207884</v>
      </c>
      <c r="AR110" s="285">
        <f t="shared" si="109"/>
        <v>0.10304659498207884</v>
      </c>
      <c r="AS110" s="285">
        <f t="shared" si="109"/>
        <v>0.10304659498207884</v>
      </c>
      <c r="AT110" s="285">
        <f t="shared" si="109"/>
        <v>0.10304659498207884</v>
      </c>
      <c r="AU110" s="285">
        <f t="shared" si="109"/>
        <v>0.10304659498207884</v>
      </c>
      <c r="AV110" s="285">
        <f t="shared" si="109"/>
        <v>0.10304659498207884</v>
      </c>
      <c r="AW110" s="285">
        <f t="shared" si="109"/>
        <v>0.10304659498207884</v>
      </c>
      <c r="AX110" s="285">
        <f t="shared" si="109"/>
        <v>0.10304659498207884</v>
      </c>
      <c r="AY110" s="285">
        <f t="shared" si="109"/>
        <v>0.10304659498207884</v>
      </c>
      <c r="AZ110" s="285">
        <f t="shared" si="109"/>
        <v>0.10304659498207884</v>
      </c>
      <c r="BA110" s="285">
        <f t="shared" si="109"/>
        <v>0.10304659498207884</v>
      </c>
      <c r="BB110" s="285">
        <f t="shared" si="109"/>
        <v>0.10304659498207884</v>
      </c>
      <c r="BC110" s="285">
        <f t="shared" si="109"/>
        <v>0.10304659498207884</v>
      </c>
      <c r="BD110" s="285">
        <f t="shared" si="109"/>
        <v>0.10304659498207884</v>
      </c>
      <c r="BE110" s="285">
        <f t="shared" si="109"/>
        <v>0.10304659498207884</v>
      </c>
      <c r="BF110" s="285">
        <f t="shared" si="109"/>
        <v>0.10304659498207884</v>
      </c>
      <c r="BG110" s="285">
        <f t="shared" si="109"/>
        <v>0.10304659498207884</v>
      </c>
      <c r="BH110" s="285">
        <f t="shared" si="109"/>
        <v>0.10304659498207884</v>
      </c>
      <c r="BI110" s="285">
        <f t="shared" si="109"/>
        <v>0.10304659498207884</v>
      </c>
      <c r="BJ110" s="285">
        <f t="shared" si="109"/>
        <v>0.10304659498207884</v>
      </c>
      <c r="BK110" s="285">
        <f t="shared" si="109"/>
        <v>0.10304659498207884</v>
      </c>
      <c r="BL110" s="285">
        <f t="shared" si="109"/>
        <v>0.10304659498207884</v>
      </c>
      <c r="BM110" s="285">
        <f t="shared" si="109"/>
        <v>0.10304659498207884</v>
      </c>
      <c r="BN110" s="285">
        <f t="shared" si="109"/>
        <v>0.10304659498207884</v>
      </c>
      <c r="BO110" s="285">
        <f t="shared" si="109"/>
        <v>0.10304659498207884</v>
      </c>
      <c r="BP110" s="285">
        <f t="shared" si="109"/>
        <v>0.10304659498207884</v>
      </c>
      <c r="BQ110" s="285">
        <f t="shared" si="109"/>
        <v>0.10304659498207884</v>
      </c>
      <c r="BR110" s="285">
        <f t="shared" si="109"/>
        <v>0.10304659498207884</v>
      </c>
      <c r="BS110" s="285">
        <f t="shared" si="109"/>
        <v>0.10304659498207884</v>
      </c>
      <c r="BT110" s="285">
        <f t="shared" si="109"/>
        <v>0.10304659498207884</v>
      </c>
      <c r="BU110" s="285">
        <f t="shared" si="109"/>
        <v>0.10304659498207884</v>
      </c>
      <c r="BV110" s="285">
        <f t="shared" si="109"/>
        <v>0.10304659498207884</v>
      </c>
      <c r="BW110" s="285">
        <f t="shared" si="109"/>
        <v>0.10304659498207884</v>
      </c>
      <c r="BX110" s="285">
        <f t="shared" si="109"/>
        <v>0.10304659498207884</v>
      </c>
      <c r="BY110" s="285">
        <f t="shared" si="109"/>
        <v>0.10304659498207884</v>
      </c>
      <c r="BZ110" s="285">
        <f t="shared" si="109"/>
        <v>0.10304659498207884</v>
      </c>
      <c r="CA110" s="285">
        <f t="shared" si="109"/>
        <v>0.10304659498207884</v>
      </c>
      <c r="CB110" s="285">
        <f t="shared" si="109"/>
        <v>0.10304659498207884</v>
      </c>
      <c r="CC110" s="285">
        <f t="shared" ref="CC110:DU110" si="110">$C$110/$E$110/12</f>
        <v>0.10304659498207884</v>
      </c>
      <c r="CD110" s="285">
        <f t="shared" si="110"/>
        <v>0.10304659498207884</v>
      </c>
      <c r="CE110" s="285">
        <f t="shared" si="110"/>
        <v>0.10304659498207884</v>
      </c>
      <c r="CF110" s="285">
        <f t="shared" si="110"/>
        <v>0.10304659498207884</v>
      </c>
      <c r="CG110" s="285">
        <f t="shared" si="110"/>
        <v>0.10304659498207884</v>
      </c>
      <c r="CH110" s="285">
        <f t="shared" si="110"/>
        <v>0.10304659498207884</v>
      </c>
      <c r="CI110" s="285">
        <f t="shared" si="110"/>
        <v>0.10304659498207884</v>
      </c>
      <c r="CJ110" s="285">
        <f t="shared" si="110"/>
        <v>0.10304659498207884</v>
      </c>
      <c r="CK110" s="285">
        <f t="shared" si="110"/>
        <v>0.10304659498207884</v>
      </c>
      <c r="CL110" s="285">
        <f t="shared" si="110"/>
        <v>0.10304659498207884</v>
      </c>
      <c r="CM110" s="285">
        <f t="shared" si="110"/>
        <v>0.10304659498207884</v>
      </c>
      <c r="CN110" s="285">
        <f t="shared" si="110"/>
        <v>0.10304659498207884</v>
      </c>
      <c r="CO110" s="285">
        <f t="shared" si="110"/>
        <v>0.10304659498207884</v>
      </c>
      <c r="CP110" s="285">
        <f t="shared" si="110"/>
        <v>0.10304659498207884</v>
      </c>
      <c r="CQ110" s="285">
        <f t="shared" si="110"/>
        <v>0.10304659498207884</v>
      </c>
      <c r="CR110" s="285">
        <f t="shared" si="110"/>
        <v>0.10304659498207884</v>
      </c>
      <c r="CS110" s="285">
        <f t="shared" si="110"/>
        <v>0.10304659498207884</v>
      </c>
      <c r="CT110" s="285">
        <f t="shared" si="110"/>
        <v>0.10304659498207884</v>
      </c>
      <c r="CU110" s="285">
        <f t="shared" si="110"/>
        <v>0.10304659498207884</v>
      </c>
      <c r="CV110" s="285">
        <f t="shared" si="110"/>
        <v>0.10304659498207884</v>
      </c>
      <c r="CW110" s="285">
        <f t="shared" si="110"/>
        <v>0.10304659498207884</v>
      </c>
      <c r="CX110" s="285">
        <f t="shared" si="110"/>
        <v>0.10304659498207884</v>
      </c>
      <c r="CY110" s="285">
        <f t="shared" si="110"/>
        <v>0.10304659498207884</v>
      </c>
      <c r="CZ110" s="285">
        <f t="shared" si="110"/>
        <v>0.10304659498207884</v>
      </c>
      <c r="DA110" s="285">
        <f t="shared" si="110"/>
        <v>0.10304659498207884</v>
      </c>
      <c r="DB110" s="285">
        <f t="shared" si="110"/>
        <v>0.10304659498207884</v>
      </c>
      <c r="DC110" s="285">
        <f t="shared" si="110"/>
        <v>0.10304659498207884</v>
      </c>
      <c r="DD110" s="285">
        <f t="shared" si="110"/>
        <v>0.10304659498207884</v>
      </c>
      <c r="DE110" s="285">
        <f t="shared" si="110"/>
        <v>0.10304659498207884</v>
      </c>
      <c r="DF110" s="285">
        <f t="shared" si="110"/>
        <v>0.10304659498207884</v>
      </c>
      <c r="DG110" s="285">
        <f t="shared" si="110"/>
        <v>0.10304659498207884</v>
      </c>
      <c r="DH110" s="285">
        <f t="shared" si="110"/>
        <v>0.10304659498207884</v>
      </c>
      <c r="DI110" s="285">
        <f t="shared" si="110"/>
        <v>0.10304659498207884</v>
      </c>
      <c r="DJ110" s="285">
        <f t="shared" si="110"/>
        <v>0.10304659498207884</v>
      </c>
      <c r="DK110" s="285">
        <f t="shared" si="110"/>
        <v>0.10304659498207884</v>
      </c>
      <c r="DL110" s="285">
        <f t="shared" si="110"/>
        <v>0.10304659498207884</v>
      </c>
      <c r="DM110" s="285">
        <f t="shared" si="110"/>
        <v>0.10304659498207884</v>
      </c>
      <c r="DN110" s="285">
        <f t="shared" si="110"/>
        <v>0.10304659498207884</v>
      </c>
      <c r="DO110" s="285">
        <f t="shared" si="110"/>
        <v>0.10304659498207884</v>
      </c>
      <c r="DP110" s="285">
        <f t="shared" si="110"/>
        <v>0.10304659498207884</v>
      </c>
      <c r="DQ110" s="285">
        <f t="shared" si="110"/>
        <v>0.10304659498207884</v>
      </c>
      <c r="DR110" s="285">
        <f t="shared" si="110"/>
        <v>0.10304659498207884</v>
      </c>
      <c r="DS110" s="285">
        <f t="shared" si="110"/>
        <v>0.10304659498207884</v>
      </c>
      <c r="DT110" s="285">
        <f t="shared" si="110"/>
        <v>0.10304659498207884</v>
      </c>
      <c r="DU110" s="285">
        <f t="shared" si="110"/>
        <v>0.10304659498207884</v>
      </c>
    </row>
    <row r="111" spans="1:125">
      <c r="A111" s="55"/>
      <c r="B111" s="277" t="str">
        <f t="shared" si="72"/>
        <v>Wilton Прецизионные сверлильные тиски 125 мм (для сверлильного)</v>
      </c>
      <c r="C111" s="370">
        <f>E60-E60*Исх.данные!$B$21</f>
        <v>4</v>
      </c>
      <c r="D111" s="383"/>
      <c r="E111" s="305">
        <v>31</v>
      </c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>
        <f>$C$111/$E$111/12</f>
        <v>1.075268817204301E-2</v>
      </c>
      <c r="Q111" s="285">
        <f t="shared" ref="Q111:CB111" si="111">$C$111/$E$111/12</f>
        <v>1.075268817204301E-2</v>
      </c>
      <c r="R111" s="285">
        <f t="shared" si="111"/>
        <v>1.075268817204301E-2</v>
      </c>
      <c r="S111" s="285">
        <f t="shared" si="111"/>
        <v>1.075268817204301E-2</v>
      </c>
      <c r="T111" s="285">
        <f t="shared" si="111"/>
        <v>1.075268817204301E-2</v>
      </c>
      <c r="U111" s="285">
        <f t="shared" si="111"/>
        <v>1.075268817204301E-2</v>
      </c>
      <c r="V111" s="285">
        <f t="shared" si="111"/>
        <v>1.075268817204301E-2</v>
      </c>
      <c r="W111" s="285">
        <f t="shared" si="111"/>
        <v>1.075268817204301E-2</v>
      </c>
      <c r="X111" s="285">
        <f t="shared" si="111"/>
        <v>1.075268817204301E-2</v>
      </c>
      <c r="Y111" s="285">
        <f t="shared" si="111"/>
        <v>1.075268817204301E-2</v>
      </c>
      <c r="Z111" s="285">
        <f t="shared" si="111"/>
        <v>1.075268817204301E-2</v>
      </c>
      <c r="AA111" s="285">
        <f t="shared" si="111"/>
        <v>1.075268817204301E-2</v>
      </c>
      <c r="AB111" s="285">
        <f t="shared" si="111"/>
        <v>1.075268817204301E-2</v>
      </c>
      <c r="AC111" s="285">
        <f t="shared" si="111"/>
        <v>1.075268817204301E-2</v>
      </c>
      <c r="AD111" s="285">
        <f t="shared" si="111"/>
        <v>1.075268817204301E-2</v>
      </c>
      <c r="AE111" s="285">
        <f t="shared" si="111"/>
        <v>1.075268817204301E-2</v>
      </c>
      <c r="AF111" s="285">
        <f t="shared" si="111"/>
        <v>1.075268817204301E-2</v>
      </c>
      <c r="AG111" s="285">
        <f t="shared" si="111"/>
        <v>1.075268817204301E-2</v>
      </c>
      <c r="AH111" s="285">
        <f t="shared" si="111"/>
        <v>1.075268817204301E-2</v>
      </c>
      <c r="AI111" s="285">
        <f t="shared" si="111"/>
        <v>1.075268817204301E-2</v>
      </c>
      <c r="AJ111" s="285">
        <f t="shared" si="111"/>
        <v>1.075268817204301E-2</v>
      </c>
      <c r="AK111" s="285">
        <f t="shared" si="111"/>
        <v>1.075268817204301E-2</v>
      </c>
      <c r="AL111" s="285">
        <f t="shared" si="111"/>
        <v>1.075268817204301E-2</v>
      </c>
      <c r="AM111" s="285">
        <f t="shared" si="111"/>
        <v>1.075268817204301E-2</v>
      </c>
      <c r="AN111" s="285">
        <f t="shared" si="111"/>
        <v>1.075268817204301E-2</v>
      </c>
      <c r="AO111" s="285">
        <f t="shared" si="111"/>
        <v>1.075268817204301E-2</v>
      </c>
      <c r="AP111" s="285">
        <f t="shared" si="111"/>
        <v>1.075268817204301E-2</v>
      </c>
      <c r="AQ111" s="285">
        <f t="shared" si="111"/>
        <v>1.075268817204301E-2</v>
      </c>
      <c r="AR111" s="285">
        <f t="shared" si="111"/>
        <v>1.075268817204301E-2</v>
      </c>
      <c r="AS111" s="285">
        <f t="shared" si="111"/>
        <v>1.075268817204301E-2</v>
      </c>
      <c r="AT111" s="285">
        <f t="shared" si="111"/>
        <v>1.075268817204301E-2</v>
      </c>
      <c r="AU111" s="285">
        <f t="shared" si="111"/>
        <v>1.075268817204301E-2</v>
      </c>
      <c r="AV111" s="285">
        <f t="shared" si="111"/>
        <v>1.075268817204301E-2</v>
      </c>
      <c r="AW111" s="285">
        <f t="shared" si="111"/>
        <v>1.075268817204301E-2</v>
      </c>
      <c r="AX111" s="285">
        <f t="shared" si="111"/>
        <v>1.075268817204301E-2</v>
      </c>
      <c r="AY111" s="285">
        <f t="shared" si="111"/>
        <v>1.075268817204301E-2</v>
      </c>
      <c r="AZ111" s="285">
        <f t="shared" si="111"/>
        <v>1.075268817204301E-2</v>
      </c>
      <c r="BA111" s="285">
        <f t="shared" si="111"/>
        <v>1.075268817204301E-2</v>
      </c>
      <c r="BB111" s="285">
        <f t="shared" si="111"/>
        <v>1.075268817204301E-2</v>
      </c>
      <c r="BC111" s="285">
        <f t="shared" si="111"/>
        <v>1.075268817204301E-2</v>
      </c>
      <c r="BD111" s="285">
        <f t="shared" si="111"/>
        <v>1.075268817204301E-2</v>
      </c>
      <c r="BE111" s="285">
        <f t="shared" si="111"/>
        <v>1.075268817204301E-2</v>
      </c>
      <c r="BF111" s="285">
        <f t="shared" si="111"/>
        <v>1.075268817204301E-2</v>
      </c>
      <c r="BG111" s="285">
        <f t="shared" si="111"/>
        <v>1.075268817204301E-2</v>
      </c>
      <c r="BH111" s="285">
        <f t="shared" si="111"/>
        <v>1.075268817204301E-2</v>
      </c>
      <c r="BI111" s="285">
        <f t="shared" si="111"/>
        <v>1.075268817204301E-2</v>
      </c>
      <c r="BJ111" s="285">
        <f t="shared" si="111"/>
        <v>1.075268817204301E-2</v>
      </c>
      <c r="BK111" s="285">
        <f t="shared" si="111"/>
        <v>1.075268817204301E-2</v>
      </c>
      <c r="BL111" s="285">
        <f t="shared" si="111"/>
        <v>1.075268817204301E-2</v>
      </c>
      <c r="BM111" s="285">
        <f t="shared" si="111"/>
        <v>1.075268817204301E-2</v>
      </c>
      <c r="BN111" s="285">
        <f t="shared" si="111"/>
        <v>1.075268817204301E-2</v>
      </c>
      <c r="BO111" s="285">
        <f t="shared" si="111"/>
        <v>1.075268817204301E-2</v>
      </c>
      <c r="BP111" s="285">
        <f t="shared" si="111"/>
        <v>1.075268817204301E-2</v>
      </c>
      <c r="BQ111" s="285">
        <f t="shared" si="111"/>
        <v>1.075268817204301E-2</v>
      </c>
      <c r="BR111" s="285">
        <f t="shared" si="111"/>
        <v>1.075268817204301E-2</v>
      </c>
      <c r="BS111" s="285">
        <f t="shared" si="111"/>
        <v>1.075268817204301E-2</v>
      </c>
      <c r="BT111" s="285">
        <f t="shared" si="111"/>
        <v>1.075268817204301E-2</v>
      </c>
      <c r="BU111" s="285">
        <f t="shared" si="111"/>
        <v>1.075268817204301E-2</v>
      </c>
      <c r="BV111" s="285">
        <f t="shared" si="111"/>
        <v>1.075268817204301E-2</v>
      </c>
      <c r="BW111" s="285">
        <f t="shared" si="111"/>
        <v>1.075268817204301E-2</v>
      </c>
      <c r="BX111" s="285">
        <f t="shared" si="111"/>
        <v>1.075268817204301E-2</v>
      </c>
      <c r="BY111" s="285">
        <f t="shared" si="111"/>
        <v>1.075268817204301E-2</v>
      </c>
      <c r="BZ111" s="285">
        <f t="shared" si="111"/>
        <v>1.075268817204301E-2</v>
      </c>
      <c r="CA111" s="285">
        <f t="shared" si="111"/>
        <v>1.075268817204301E-2</v>
      </c>
      <c r="CB111" s="285">
        <f t="shared" si="111"/>
        <v>1.075268817204301E-2</v>
      </c>
      <c r="CC111" s="285">
        <f t="shared" ref="CC111:DU111" si="112">$C$111/$E$111/12</f>
        <v>1.075268817204301E-2</v>
      </c>
      <c r="CD111" s="285">
        <f t="shared" si="112"/>
        <v>1.075268817204301E-2</v>
      </c>
      <c r="CE111" s="285">
        <f t="shared" si="112"/>
        <v>1.075268817204301E-2</v>
      </c>
      <c r="CF111" s="285">
        <f t="shared" si="112"/>
        <v>1.075268817204301E-2</v>
      </c>
      <c r="CG111" s="285">
        <f t="shared" si="112"/>
        <v>1.075268817204301E-2</v>
      </c>
      <c r="CH111" s="285">
        <f t="shared" si="112"/>
        <v>1.075268817204301E-2</v>
      </c>
      <c r="CI111" s="285">
        <f t="shared" si="112"/>
        <v>1.075268817204301E-2</v>
      </c>
      <c r="CJ111" s="285">
        <f t="shared" si="112"/>
        <v>1.075268817204301E-2</v>
      </c>
      <c r="CK111" s="285">
        <f t="shared" si="112"/>
        <v>1.075268817204301E-2</v>
      </c>
      <c r="CL111" s="285">
        <f t="shared" si="112"/>
        <v>1.075268817204301E-2</v>
      </c>
      <c r="CM111" s="285">
        <f t="shared" si="112"/>
        <v>1.075268817204301E-2</v>
      </c>
      <c r="CN111" s="285">
        <f t="shared" si="112"/>
        <v>1.075268817204301E-2</v>
      </c>
      <c r="CO111" s="285">
        <f t="shared" si="112"/>
        <v>1.075268817204301E-2</v>
      </c>
      <c r="CP111" s="285">
        <f t="shared" si="112"/>
        <v>1.075268817204301E-2</v>
      </c>
      <c r="CQ111" s="285">
        <f t="shared" si="112"/>
        <v>1.075268817204301E-2</v>
      </c>
      <c r="CR111" s="285">
        <f t="shared" si="112"/>
        <v>1.075268817204301E-2</v>
      </c>
      <c r="CS111" s="285">
        <f t="shared" si="112"/>
        <v>1.075268817204301E-2</v>
      </c>
      <c r="CT111" s="285">
        <f t="shared" si="112"/>
        <v>1.075268817204301E-2</v>
      </c>
      <c r="CU111" s="285">
        <f t="shared" si="112"/>
        <v>1.075268817204301E-2</v>
      </c>
      <c r="CV111" s="285">
        <f t="shared" si="112"/>
        <v>1.075268817204301E-2</v>
      </c>
      <c r="CW111" s="285">
        <f t="shared" si="112"/>
        <v>1.075268817204301E-2</v>
      </c>
      <c r="CX111" s="285">
        <f t="shared" si="112"/>
        <v>1.075268817204301E-2</v>
      </c>
      <c r="CY111" s="285">
        <f t="shared" si="112"/>
        <v>1.075268817204301E-2</v>
      </c>
      <c r="CZ111" s="285">
        <f t="shared" si="112"/>
        <v>1.075268817204301E-2</v>
      </c>
      <c r="DA111" s="285">
        <f t="shared" si="112"/>
        <v>1.075268817204301E-2</v>
      </c>
      <c r="DB111" s="285">
        <f t="shared" si="112"/>
        <v>1.075268817204301E-2</v>
      </c>
      <c r="DC111" s="285">
        <f t="shared" si="112"/>
        <v>1.075268817204301E-2</v>
      </c>
      <c r="DD111" s="285">
        <f t="shared" si="112"/>
        <v>1.075268817204301E-2</v>
      </c>
      <c r="DE111" s="285">
        <f t="shared" si="112"/>
        <v>1.075268817204301E-2</v>
      </c>
      <c r="DF111" s="285">
        <f t="shared" si="112"/>
        <v>1.075268817204301E-2</v>
      </c>
      <c r="DG111" s="285">
        <f t="shared" si="112"/>
        <v>1.075268817204301E-2</v>
      </c>
      <c r="DH111" s="285">
        <f t="shared" si="112"/>
        <v>1.075268817204301E-2</v>
      </c>
      <c r="DI111" s="285">
        <f t="shared" si="112"/>
        <v>1.075268817204301E-2</v>
      </c>
      <c r="DJ111" s="285">
        <f t="shared" si="112"/>
        <v>1.075268817204301E-2</v>
      </c>
      <c r="DK111" s="285">
        <f t="shared" si="112"/>
        <v>1.075268817204301E-2</v>
      </c>
      <c r="DL111" s="285">
        <f t="shared" si="112"/>
        <v>1.075268817204301E-2</v>
      </c>
      <c r="DM111" s="285">
        <f t="shared" si="112"/>
        <v>1.075268817204301E-2</v>
      </c>
      <c r="DN111" s="285">
        <f t="shared" si="112"/>
        <v>1.075268817204301E-2</v>
      </c>
      <c r="DO111" s="285">
        <f t="shared" si="112"/>
        <v>1.075268817204301E-2</v>
      </c>
      <c r="DP111" s="285">
        <f t="shared" si="112"/>
        <v>1.075268817204301E-2</v>
      </c>
      <c r="DQ111" s="285">
        <f t="shared" si="112"/>
        <v>1.075268817204301E-2</v>
      </c>
      <c r="DR111" s="285">
        <f t="shared" si="112"/>
        <v>1.075268817204301E-2</v>
      </c>
      <c r="DS111" s="285">
        <f t="shared" si="112"/>
        <v>1.075268817204301E-2</v>
      </c>
      <c r="DT111" s="285">
        <f t="shared" si="112"/>
        <v>1.075268817204301E-2</v>
      </c>
      <c r="DU111" s="285">
        <f t="shared" si="112"/>
        <v>1.075268817204301E-2</v>
      </c>
    </row>
    <row r="112" spans="1:125">
      <c r="A112" s="55"/>
      <c r="B112" s="277" t="str">
        <f t="shared" si="72"/>
        <v>Точильный станок Ресанта Т-200/450 75/7/3</v>
      </c>
      <c r="C112" s="370">
        <f>E61-E61*Исх.данные!$B$21</f>
        <v>10.816666666666666</v>
      </c>
      <c r="D112" s="383"/>
      <c r="E112" s="305">
        <v>31</v>
      </c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>
        <f>$C$112/$E$112/12</f>
        <v>2.9077060931899643E-2</v>
      </c>
      <c r="Q112" s="285">
        <f t="shared" ref="Q112:CB112" si="113">$C$112/$E$112/12</f>
        <v>2.9077060931899643E-2</v>
      </c>
      <c r="R112" s="285">
        <f t="shared" si="113"/>
        <v>2.9077060931899643E-2</v>
      </c>
      <c r="S112" s="285">
        <f t="shared" si="113"/>
        <v>2.9077060931899643E-2</v>
      </c>
      <c r="T112" s="285">
        <f t="shared" si="113"/>
        <v>2.9077060931899643E-2</v>
      </c>
      <c r="U112" s="285">
        <f t="shared" si="113"/>
        <v>2.9077060931899643E-2</v>
      </c>
      <c r="V112" s="285">
        <f t="shared" si="113"/>
        <v>2.9077060931899643E-2</v>
      </c>
      <c r="W112" s="285">
        <f t="shared" si="113"/>
        <v>2.9077060931899643E-2</v>
      </c>
      <c r="X112" s="285">
        <f t="shared" si="113"/>
        <v>2.9077060931899643E-2</v>
      </c>
      <c r="Y112" s="285">
        <f t="shared" si="113"/>
        <v>2.9077060931899643E-2</v>
      </c>
      <c r="Z112" s="285">
        <f t="shared" si="113"/>
        <v>2.9077060931899643E-2</v>
      </c>
      <c r="AA112" s="285">
        <f t="shared" si="113"/>
        <v>2.9077060931899643E-2</v>
      </c>
      <c r="AB112" s="285">
        <f t="shared" si="113"/>
        <v>2.9077060931899643E-2</v>
      </c>
      <c r="AC112" s="285">
        <f t="shared" si="113"/>
        <v>2.9077060931899643E-2</v>
      </c>
      <c r="AD112" s="285">
        <f t="shared" si="113"/>
        <v>2.9077060931899643E-2</v>
      </c>
      <c r="AE112" s="285">
        <f t="shared" si="113"/>
        <v>2.9077060931899643E-2</v>
      </c>
      <c r="AF112" s="285">
        <f t="shared" si="113"/>
        <v>2.9077060931899643E-2</v>
      </c>
      <c r="AG112" s="285">
        <f t="shared" si="113"/>
        <v>2.9077060931899643E-2</v>
      </c>
      <c r="AH112" s="285">
        <f t="shared" si="113"/>
        <v>2.9077060931899643E-2</v>
      </c>
      <c r="AI112" s="285">
        <f t="shared" si="113"/>
        <v>2.9077060931899643E-2</v>
      </c>
      <c r="AJ112" s="285">
        <f t="shared" si="113"/>
        <v>2.9077060931899643E-2</v>
      </c>
      <c r="AK112" s="285">
        <f t="shared" si="113"/>
        <v>2.9077060931899643E-2</v>
      </c>
      <c r="AL112" s="285">
        <f t="shared" si="113"/>
        <v>2.9077060931899643E-2</v>
      </c>
      <c r="AM112" s="285">
        <f t="shared" si="113"/>
        <v>2.9077060931899643E-2</v>
      </c>
      <c r="AN112" s="285">
        <f t="shared" si="113"/>
        <v>2.9077060931899643E-2</v>
      </c>
      <c r="AO112" s="285">
        <f t="shared" si="113"/>
        <v>2.9077060931899643E-2</v>
      </c>
      <c r="AP112" s="285">
        <f t="shared" si="113"/>
        <v>2.9077060931899643E-2</v>
      </c>
      <c r="AQ112" s="285">
        <f t="shared" si="113"/>
        <v>2.9077060931899643E-2</v>
      </c>
      <c r="AR112" s="285">
        <f t="shared" si="113"/>
        <v>2.9077060931899643E-2</v>
      </c>
      <c r="AS112" s="285">
        <f t="shared" si="113"/>
        <v>2.9077060931899643E-2</v>
      </c>
      <c r="AT112" s="285">
        <f t="shared" si="113"/>
        <v>2.9077060931899643E-2</v>
      </c>
      <c r="AU112" s="285">
        <f t="shared" si="113"/>
        <v>2.9077060931899643E-2</v>
      </c>
      <c r="AV112" s="285">
        <f t="shared" si="113"/>
        <v>2.9077060931899643E-2</v>
      </c>
      <c r="AW112" s="285">
        <f t="shared" si="113"/>
        <v>2.9077060931899643E-2</v>
      </c>
      <c r="AX112" s="285">
        <f t="shared" si="113"/>
        <v>2.9077060931899643E-2</v>
      </c>
      <c r="AY112" s="285">
        <f t="shared" si="113"/>
        <v>2.9077060931899643E-2</v>
      </c>
      <c r="AZ112" s="285">
        <f t="shared" si="113"/>
        <v>2.9077060931899643E-2</v>
      </c>
      <c r="BA112" s="285">
        <f t="shared" si="113"/>
        <v>2.9077060931899643E-2</v>
      </c>
      <c r="BB112" s="285">
        <f t="shared" si="113"/>
        <v>2.9077060931899643E-2</v>
      </c>
      <c r="BC112" s="285">
        <f t="shared" si="113"/>
        <v>2.9077060931899643E-2</v>
      </c>
      <c r="BD112" s="285">
        <f t="shared" si="113"/>
        <v>2.9077060931899643E-2</v>
      </c>
      <c r="BE112" s="285">
        <f t="shared" si="113"/>
        <v>2.9077060931899643E-2</v>
      </c>
      <c r="BF112" s="285">
        <f t="shared" si="113"/>
        <v>2.9077060931899643E-2</v>
      </c>
      <c r="BG112" s="285">
        <f t="shared" si="113"/>
        <v>2.9077060931899643E-2</v>
      </c>
      <c r="BH112" s="285">
        <f t="shared" si="113"/>
        <v>2.9077060931899643E-2</v>
      </c>
      <c r="BI112" s="285">
        <f t="shared" si="113"/>
        <v>2.9077060931899643E-2</v>
      </c>
      <c r="BJ112" s="285">
        <f t="shared" si="113"/>
        <v>2.9077060931899643E-2</v>
      </c>
      <c r="BK112" s="285">
        <f t="shared" si="113"/>
        <v>2.9077060931899643E-2</v>
      </c>
      <c r="BL112" s="285">
        <f t="shared" si="113"/>
        <v>2.9077060931899643E-2</v>
      </c>
      <c r="BM112" s="285">
        <f t="shared" si="113"/>
        <v>2.9077060931899643E-2</v>
      </c>
      <c r="BN112" s="285">
        <f t="shared" si="113"/>
        <v>2.9077060931899643E-2</v>
      </c>
      <c r="BO112" s="285">
        <f t="shared" si="113"/>
        <v>2.9077060931899643E-2</v>
      </c>
      <c r="BP112" s="285">
        <f t="shared" si="113"/>
        <v>2.9077060931899643E-2</v>
      </c>
      <c r="BQ112" s="285">
        <f t="shared" si="113"/>
        <v>2.9077060931899643E-2</v>
      </c>
      <c r="BR112" s="285">
        <f t="shared" si="113"/>
        <v>2.9077060931899643E-2</v>
      </c>
      <c r="BS112" s="285">
        <f t="shared" si="113"/>
        <v>2.9077060931899643E-2</v>
      </c>
      <c r="BT112" s="285">
        <f t="shared" si="113"/>
        <v>2.9077060931899643E-2</v>
      </c>
      <c r="BU112" s="285">
        <f t="shared" si="113"/>
        <v>2.9077060931899643E-2</v>
      </c>
      <c r="BV112" s="285">
        <f t="shared" si="113"/>
        <v>2.9077060931899643E-2</v>
      </c>
      <c r="BW112" s="285">
        <f t="shared" si="113"/>
        <v>2.9077060931899643E-2</v>
      </c>
      <c r="BX112" s="285">
        <f t="shared" si="113"/>
        <v>2.9077060931899643E-2</v>
      </c>
      <c r="BY112" s="285">
        <f t="shared" si="113"/>
        <v>2.9077060931899643E-2</v>
      </c>
      <c r="BZ112" s="285">
        <f t="shared" si="113"/>
        <v>2.9077060931899643E-2</v>
      </c>
      <c r="CA112" s="285">
        <f t="shared" si="113"/>
        <v>2.9077060931899643E-2</v>
      </c>
      <c r="CB112" s="285">
        <f t="shared" si="113"/>
        <v>2.9077060931899643E-2</v>
      </c>
      <c r="CC112" s="285">
        <f t="shared" ref="CC112:DU112" si="114">$C$112/$E$112/12</f>
        <v>2.9077060931899643E-2</v>
      </c>
      <c r="CD112" s="285">
        <f t="shared" si="114"/>
        <v>2.9077060931899643E-2</v>
      </c>
      <c r="CE112" s="285">
        <f t="shared" si="114"/>
        <v>2.9077060931899643E-2</v>
      </c>
      <c r="CF112" s="285">
        <f t="shared" si="114"/>
        <v>2.9077060931899643E-2</v>
      </c>
      <c r="CG112" s="285">
        <f t="shared" si="114"/>
        <v>2.9077060931899643E-2</v>
      </c>
      <c r="CH112" s="285">
        <f t="shared" si="114"/>
        <v>2.9077060931899643E-2</v>
      </c>
      <c r="CI112" s="285">
        <f t="shared" si="114"/>
        <v>2.9077060931899643E-2</v>
      </c>
      <c r="CJ112" s="285">
        <f t="shared" si="114"/>
        <v>2.9077060931899643E-2</v>
      </c>
      <c r="CK112" s="285">
        <f t="shared" si="114"/>
        <v>2.9077060931899643E-2</v>
      </c>
      <c r="CL112" s="285">
        <f t="shared" si="114"/>
        <v>2.9077060931899643E-2</v>
      </c>
      <c r="CM112" s="285">
        <f t="shared" si="114"/>
        <v>2.9077060931899643E-2</v>
      </c>
      <c r="CN112" s="285">
        <f t="shared" si="114"/>
        <v>2.9077060931899643E-2</v>
      </c>
      <c r="CO112" s="285">
        <f t="shared" si="114"/>
        <v>2.9077060931899643E-2</v>
      </c>
      <c r="CP112" s="285">
        <f t="shared" si="114"/>
        <v>2.9077060931899643E-2</v>
      </c>
      <c r="CQ112" s="285">
        <f t="shared" si="114"/>
        <v>2.9077060931899643E-2</v>
      </c>
      <c r="CR112" s="285">
        <f t="shared" si="114"/>
        <v>2.9077060931899643E-2</v>
      </c>
      <c r="CS112" s="285">
        <f t="shared" si="114"/>
        <v>2.9077060931899643E-2</v>
      </c>
      <c r="CT112" s="285">
        <f t="shared" si="114"/>
        <v>2.9077060931899643E-2</v>
      </c>
      <c r="CU112" s="285">
        <f t="shared" si="114"/>
        <v>2.9077060931899643E-2</v>
      </c>
      <c r="CV112" s="285">
        <f t="shared" si="114"/>
        <v>2.9077060931899643E-2</v>
      </c>
      <c r="CW112" s="285">
        <f t="shared" si="114"/>
        <v>2.9077060931899643E-2</v>
      </c>
      <c r="CX112" s="285">
        <f t="shared" si="114"/>
        <v>2.9077060931899643E-2</v>
      </c>
      <c r="CY112" s="285">
        <f t="shared" si="114"/>
        <v>2.9077060931899643E-2</v>
      </c>
      <c r="CZ112" s="285">
        <f t="shared" si="114"/>
        <v>2.9077060931899643E-2</v>
      </c>
      <c r="DA112" s="285">
        <f t="shared" si="114"/>
        <v>2.9077060931899643E-2</v>
      </c>
      <c r="DB112" s="285">
        <f t="shared" si="114"/>
        <v>2.9077060931899643E-2</v>
      </c>
      <c r="DC112" s="285">
        <f t="shared" si="114"/>
        <v>2.9077060931899643E-2</v>
      </c>
      <c r="DD112" s="285">
        <f t="shared" si="114"/>
        <v>2.9077060931899643E-2</v>
      </c>
      <c r="DE112" s="285">
        <f t="shared" si="114"/>
        <v>2.9077060931899643E-2</v>
      </c>
      <c r="DF112" s="285">
        <f t="shared" si="114"/>
        <v>2.9077060931899643E-2</v>
      </c>
      <c r="DG112" s="285">
        <f t="shared" si="114"/>
        <v>2.9077060931899643E-2</v>
      </c>
      <c r="DH112" s="285">
        <f t="shared" si="114"/>
        <v>2.9077060931899643E-2</v>
      </c>
      <c r="DI112" s="285">
        <f t="shared" si="114"/>
        <v>2.9077060931899643E-2</v>
      </c>
      <c r="DJ112" s="285">
        <f t="shared" si="114"/>
        <v>2.9077060931899643E-2</v>
      </c>
      <c r="DK112" s="285">
        <f t="shared" si="114"/>
        <v>2.9077060931899643E-2</v>
      </c>
      <c r="DL112" s="285">
        <f t="shared" si="114"/>
        <v>2.9077060931899643E-2</v>
      </c>
      <c r="DM112" s="285">
        <f t="shared" si="114"/>
        <v>2.9077060931899643E-2</v>
      </c>
      <c r="DN112" s="285">
        <f t="shared" si="114"/>
        <v>2.9077060931899643E-2</v>
      </c>
      <c r="DO112" s="285">
        <f t="shared" si="114"/>
        <v>2.9077060931899643E-2</v>
      </c>
      <c r="DP112" s="285">
        <f t="shared" si="114"/>
        <v>2.9077060931899643E-2</v>
      </c>
      <c r="DQ112" s="285">
        <f t="shared" si="114"/>
        <v>2.9077060931899643E-2</v>
      </c>
      <c r="DR112" s="285">
        <f t="shared" si="114"/>
        <v>2.9077060931899643E-2</v>
      </c>
      <c r="DS112" s="285">
        <f t="shared" si="114"/>
        <v>2.9077060931899643E-2</v>
      </c>
      <c r="DT112" s="285">
        <f t="shared" si="114"/>
        <v>2.9077060931899643E-2</v>
      </c>
      <c r="DU112" s="285">
        <f t="shared" si="114"/>
        <v>2.9077060931899643E-2</v>
      </c>
    </row>
    <row r="113" spans="1:125">
      <c r="A113" s="55"/>
      <c r="B113" s="277" t="str">
        <f t="shared" si="72"/>
        <v>Струбцина корпусная 610 мм</v>
      </c>
      <c r="C113" s="370">
        <f>E62-E62*Исх.данные!$B$21</f>
        <v>9.75</v>
      </c>
      <c r="D113" s="383"/>
      <c r="E113" s="305">
        <v>31</v>
      </c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>
        <f>$C$113/$E$113/12</f>
        <v>2.620967741935484E-2</v>
      </c>
      <c r="Q113" s="285">
        <f t="shared" ref="Q113:CB113" si="115">$C$113/$E$113/12</f>
        <v>2.620967741935484E-2</v>
      </c>
      <c r="R113" s="285">
        <f t="shared" si="115"/>
        <v>2.620967741935484E-2</v>
      </c>
      <c r="S113" s="285">
        <f t="shared" si="115"/>
        <v>2.620967741935484E-2</v>
      </c>
      <c r="T113" s="285">
        <f t="shared" si="115"/>
        <v>2.620967741935484E-2</v>
      </c>
      <c r="U113" s="285">
        <f t="shared" si="115"/>
        <v>2.620967741935484E-2</v>
      </c>
      <c r="V113" s="285">
        <f t="shared" si="115"/>
        <v>2.620967741935484E-2</v>
      </c>
      <c r="W113" s="285">
        <f t="shared" si="115"/>
        <v>2.620967741935484E-2</v>
      </c>
      <c r="X113" s="285">
        <f t="shared" si="115"/>
        <v>2.620967741935484E-2</v>
      </c>
      <c r="Y113" s="285">
        <f t="shared" si="115"/>
        <v>2.620967741935484E-2</v>
      </c>
      <c r="Z113" s="285">
        <f t="shared" si="115"/>
        <v>2.620967741935484E-2</v>
      </c>
      <c r="AA113" s="285">
        <f t="shared" si="115"/>
        <v>2.620967741935484E-2</v>
      </c>
      <c r="AB113" s="285">
        <f t="shared" si="115"/>
        <v>2.620967741935484E-2</v>
      </c>
      <c r="AC113" s="285">
        <f t="shared" si="115"/>
        <v>2.620967741935484E-2</v>
      </c>
      <c r="AD113" s="285">
        <f t="shared" si="115"/>
        <v>2.620967741935484E-2</v>
      </c>
      <c r="AE113" s="285">
        <f t="shared" si="115"/>
        <v>2.620967741935484E-2</v>
      </c>
      <c r="AF113" s="285">
        <f t="shared" si="115"/>
        <v>2.620967741935484E-2</v>
      </c>
      <c r="AG113" s="285">
        <f t="shared" si="115"/>
        <v>2.620967741935484E-2</v>
      </c>
      <c r="AH113" s="285">
        <f t="shared" si="115"/>
        <v>2.620967741935484E-2</v>
      </c>
      <c r="AI113" s="285">
        <f t="shared" si="115"/>
        <v>2.620967741935484E-2</v>
      </c>
      <c r="AJ113" s="285">
        <f t="shared" si="115"/>
        <v>2.620967741935484E-2</v>
      </c>
      <c r="AK113" s="285">
        <f t="shared" si="115"/>
        <v>2.620967741935484E-2</v>
      </c>
      <c r="AL113" s="285">
        <f t="shared" si="115"/>
        <v>2.620967741935484E-2</v>
      </c>
      <c r="AM113" s="285">
        <f t="shared" si="115"/>
        <v>2.620967741935484E-2</v>
      </c>
      <c r="AN113" s="285">
        <f t="shared" si="115"/>
        <v>2.620967741935484E-2</v>
      </c>
      <c r="AO113" s="285">
        <f t="shared" si="115"/>
        <v>2.620967741935484E-2</v>
      </c>
      <c r="AP113" s="285">
        <f t="shared" si="115"/>
        <v>2.620967741935484E-2</v>
      </c>
      <c r="AQ113" s="285">
        <f t="shared" si="115"/>
        <v>2.620967741935484E-2</v>
      </c>
      <c r="AR113" s="285">
        <f t="shared" si="115"/>
        <v>2.620967741935484E-2</v>
      </c>
      <c r="AS113" s="285">
        <f t="shared" si="115"/>
        <v>2.620967741935484E-2</v>
      </c>
      <c r="AT113" s="285">
        <f t="shared" si="115"/>
        <v>2.620967741935484E-2</v>
      </c>
      <c r="AU113" s="285">
        <f t="shared" si="115"/>
        <v>2.620967741935484E-2</v>
      </c>
      <c r="AV113" s="285">
        <f t="shared" si="115"/>
        <v>2.620967741935484E-2</v>
      </c>
      <c r="AW113" s="285">
        <f t="shared" si="115"/>
        <v>2.620967741935484E-2</v>
      </c>
      <c r="AX113" s="285">
        <f t="shared" si="115"/>
        <v>2.620967741935484E-2</v>
      </c>
      <c r="AY113" s="285">
        <f t="shared" si="115"/>
        <v>2.620967741935484E-2</v>
      </c>
      <c r="AZ113" s="285">
        <f t="shared" si="115"/>
        <v>2.620967741935484E-2</v>
      </c>
      <c r="BA113" s="285">
        <f t="shared" si="115"/>
        <v>2.620967741935484E-2</v>
      </c>
      <c r="BB113" s="285">
        <f t="shared" si="115"/>
        <v>2.620967741935484E-2</v>
      </c>
      <c r="BC113" s="285">
        <f t="shared" si="115"/>
        <v>2.620967741935484E-2</v>
      </c>
      <c r="BD113" s="285">
        <f t="shared" si="115"/>
        <v>2.620967741935484E-2</v>
      </c>
      <c r="BE113" s="285">
        <f t="shared" si="115"/>
        <v>2.620967741935484E-2</v>
      </c>
      <c r="BF113" s="285">
        <f t="shared" si="115"/>
        <v>2.620967741935484E-2</v>
      </c>
      <c r="BG113" s="285">
        <f t="shared" si="115"/>
        <v>2.620967741935484E-2</v>
      </c>
      <c r="BH113" s="285">
        <f t="shared" si="115"/>
        <v>2.620967741935484E-2</v>
      </c>
      <c r="BI113" s="285">
        <f t="shared" si="115"/>
        <v>2.620967741935484E-2</v>
      </c>
      <c r="BJ113" s="285">
        <f t="shared" si="115"/>
        <v>2.620967741935484E-2</v>
      </c>
      <c r="BK113" s="285">
        <f t="shared" si="115"/>
        <v>2.620967741935484E-2</v>
      </c>
      <c r="BL113" s="285">
        <f t="shared" si="115"/>
        <v>2.620967741935484E-2</v>
      </c>
      <c r="BM113" s="285">
        <f t="shared" si="115"/>
        <v>2.620967741935484E-2</v>
      </c>
      <c r="BN113" s="285">
        <f t="shared" si="115"/>
        <v>2.620967741935484E-2</v>
      </c>
      <c r="BO113" s="285">
        <f t="shared" si="115"/>
        <v>2.620967741935484E-2</v>
      </c>
      <c r="BP113" s="285">
        <f t="shared" si="115"/>
        <v>2.620967741935484E-2</v>
      </c>
      <c r="BQ113" s="285">
        <f t="shared" si="115"/>
        <v>2.620967741935484E-2</v>
      </c>
      <c r="BR113" s="285">
        <f t="shared" si="115"/>
        <v>2.620967741935484E-2</v>
      </c>
      <c r="BS113" s="285">
        <f t="shared" si="115"/>
        <v>2.620967741935484E-2</v>
      </c>
      <c r="BT113" s="285">
        <f t="shared" si="115"/>
        <v>2.620967741935484E-2</v>
      </c>
      <c r="BU113" s="285">
        <f t="shared" si="115"/>
        <v>2.620967741935484E-2</v>
      </c>
      <c r="BV113" s="285">
        <f t="shared" si="115"/>
        <v>2.620967741935484E-2</v>
      </c>
      <c r="BW113" s="285">
        <f t="shared" si="115"/>
        <v>2.620967741935484E-2</v>
      </c>
      <c r="BX113" s="285">
        <f t="shared" si="115"/>
        <v>2.620967741935484E-2</v>
      </c>
      <c r="BY113" s="285">
        <f t="shared" si="115"/>
        <v>2.620967741935484E-2</v>
      </c>
      <c r="BZ113" s="285">
        <f t="shared" si="115"/>
        <v>2.620967741935484E-2</v>
      </c>
      <c r="CA113" s="285">
        <f t="shared" si="115"/>
        <v>2.620967741935484E-2</v>
      </c>
      <c r="CB113" s="285">
        <f t="shared" si="115"/>
        <v>2.620967741935484E-2</v>
      </c>
      <c r="CC113" s="285">
        <f t="shared" ref="CC113:DU113" si="116">$C$113/$E$113/12</f>
        <v>2.620967741935484E-2</v>
      </c>
      <c r="CD113" s="285">
        <f t="shared" si="116"/>
        <v>2.620967741935484E-2</v>
      </c>
      <c r="CE113" s="285">
        <f t="shared" si="116"/>
        <v>2.620967741935484E-2</v>
      </c>
      <c r="CF113" s="285">
        <f t="shared" si="116"/>
        <v>2.620967741935484E-2</v>
      </c>
      <c r="CG113" s="285">
        <f t="shared" si="116"/>
        <v>2.620967741935484E-2</v>
      </c>
      <c r="CH113" s="285">
        <f t="shared" si="116"/>
        <v>2.620967741935484E-2</v>
      </c>
      <c r="CI113" s="285">
        <f t="shared" si="116"/>
        <v>2.620967741935484E-2</v>
      </c>
      <c r="CJ113" s="285">
        <f t="shared" si="116"/>
        <v>2.620967741935484E-2</v>
      </c>
      <c r="CK113" s="285">
        <f t="shared" si="116"/>
        <v>2.620967741935484E-2</v>
      </c>
      <c r="CL113" s="285">
        <f t="shared" si="116"/>
        <v>2.620967741935484E-2</v>
      </c>
      <c r="CM113" s="285">
        <f t="shared" si="116"/>
        <v>2.620967741935484E-2</v>
      </c>
      <c r="CN113" s="285">
        <f t="shared" si="116"/>
        <v>2.620967741935484E-2</v>
      </c>
      <c r="CO113" s="285">
        <f t="shared" si="116"/>
        <v>2.620967741935484E-2</v>
      </c>
      <c r="CP113" s="285">
        <f t="shared" si="116"/>
        <v>2.620967741935484E-2</v>
      </c>
      <c r="CQ113" s="285">
        <f t="shared" si="116"/>
        <v>2.620967741935484E-2</v>
      </c>
      <c r="CR113" s="285">
        <f t="shared" si="116"/>
        <v>2.620967741935484E-2</v>
      </c>
      <c r="CS113" s="285">
        <f t="shared" si="116"/>
        <v>2.620967741935484E-2</v>
      </c>
      <c r="CT113" s="285">
        <f t="shared" si="116"/>
        <v>2.620967741935484E-2</v>
      </c>
      <c r="CU113" s="285">
        <f t="shared" si="116"/>
        <v>2.620967741935484E-2</v>
      </c>
      <c r="CV113" s="285">
        <f t="shared" si="116"/>
        <v>2.620967741935484E-2</v>
      </c>
      <c r="CW113" s="285">
        <f t="shared" si="116"/>
        <v>2.620967741935484E-2</v>
      </c>
      <c r="CX113" s="285">
        <f t="shared" si="116"/>
        <v>2.620967741935484E-2</v>
      </c>
      <c r="CY113" s="285">
        <f t="shared" si="116"/>
        <v>2.620967741935484E-2</v>
      </c>
      <c r="CZ113" s="285">
        <f t="shared" si="116"/>
        <v>2.620967741935484E-2</v>
      </c>
      <c r="DA113" s="285">
        <f t="shared" si="116"/>
        <v>2.620967741935484E-2</v>
      </c>
      <c r="DB113" s="285">
        <f t="shared" si="116"/>
        <v>2.620967741935484E-2</v>
      </c>
      <c r="DC113" s="285">
        <f t="shared" si="116"/>
        <v>2.620967741935484E-2</v>
      </c>
      <c r="DD113" s="285">
        <f t="shared" si="116"/>
        <v>2.620967741935484E-2</v>
      </c>
      <c r="DE113" s="285">
        <f t="shared" si="116"/>
        <v>2.620967741935484E-2</v>
      </c>
      <c r="DF113" s="285">
        <f t="shared" si="116"/>
        <v>2.620967741935484E-2</v>
      </c>
      <c r="DG113" s="285">
        <f t="shared" si="116"/>
        <v>2.620967741935484E-2</v>
      </c>
      <c r="DH113" s="285">
        <f t="shared" si="116"/>
        <v>2.620967741935484E-2</v>
      </c>
      <c r="DI113" s="285">
        <f t="shared" si="116"/>
        <v>2.620967741935484E-2</v>
      </c>
      <c r="DJ113" s="285">
        <f t="shared" si="116"/>
        <v>2.620967741935484E-2</v>
      </c>
      <c r="DK113" s="285">
        <f t="shared" si="116"/>
        <v>2.620967741935484E-2</v>
      </c>
      <c r="DL113" s="285">
        <f t="shared" si="116"/>
        <v>2.620967741935484E-2</v>
      </c>
      <c r="DM113" s="285">
        <f t="shared" si="116"/>
        <v>2.620967741935484E-2</v>
      </c>
      <c r="DN113" s="285">
        <f t="shared" si="116"/>
        <v>2.620967741935484E-2</v>
      </c>
      <c r="DO113" s="285">
        <f t="shared" si="116"/>
        <v>2.620967741935484E-2</v>
      </c>
      <c r="DP113" s="285">
        <f t="shared" si="116"/>
        <v>2.620967741935484E-2</v>
      </c>
      <c r="DQ113" s="285">
        <f t="shared" si="116"/>
        <v>2.620967741935484E-2</v>
      </c>
      <c r="DR113" s="285">
        <f t="shared" si="116"/>
        <v>2.620967741935484E-2</v>
      </c>
      <c r="DS113" s="285">
        <f t="shared" si="116"/>
        <v>2.620967741935484E-2</v>
      </c>
      <c r="DT113" s="285">
        <f t="shared" si="116"/>
        <v>2.620967741935484E-2</v>
      </c>
      <c r="DU113" s="285">
        <f t="shared" si="116"/>
        <v>2.620967741935484E-2</v>
      </c>
    </row>
    <row r="114" spans="1:125">
      <c r="A114" s="55"/>
      <c r="B114" s="277" t="str">
        <f t="shared" si="72"/>
        <v>Сварочные тележки</v>
      </c>
      <c r="C114" s="370">
        <f>E63-E63*Исх.данные!$B$21</f>
        <v>30</v>
      </c>
      <c r="D114" s="383"/>
      <c r="E114" s="305">
        <v>31</v>
      </c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>
        <f>$C$114/$E$114/12</f>
        <v>8.0645161290322578E-2</v>
      </c>
      <c r="Q114" s="285">
        <f t="shared" ref="Q114:CB114" si="117">$C$114/$E$114/12</f>
        <v>8.0645161290322578E-2</v>
      </c>
      <c r="R114" s="285">
        <f t="shared" si="117"/>
        <v>8.0645161290322578E-2</v>
      </c>
      <c r="S114" s="285">
        <f t="shared" si="117"/>
        <v>8.0645161290322578E-2</v>
      </c>
      <c r="T114" s="285">
        <f t="shared" si="117"/>
        <v>8.0645161290322578E-2</v>
      </c>
      <c r="U114" s="285">
        <f t="shared" si="117"/>
        <v>8.0645161290322578E-2</v>
      </c>
      <c r="V114" s="285">
        <f t="shared" si="117"/>
        <v>8.0645161290322578E-2</v>
      </c>
      <c r="W114" s="285">
        <f t="shared" si="117"/>
        <v>8.0645161290322578E-2</v>
      </c>
      <c r="X114" s="285">
        <f t="shared" si="117"/>
        <v>8.0645161290322578E-2</v>
      </c>
      <c r="Y114" s="285">
        <f t="shared" si="117"/>
        <v>8.0645161290322578E-2</v>
      </c>
      <c r="Z114" s="285">
        <f t="shared" si="117"/>
        <v>8.0645161290322578E-2</v>
      </c>
      <c r="AA114" s="285">
        <f t="shared" si="117"/>
        <v>8.0645161290322578E-2</v>
      </c>
      <c r="AB114" s="285">
        <f t="shared" si="117"/>
        <v>8.0645161290322578E-2</v>
      </c>
      <c r="AC114" s="285">
        <f t="shared" si="117"/>
        <v>8.0645161290322578E-2</v>
      </c>
      <c r="AD114" s="285">
        <f t="shared" si="117"/>
        <v>8.0645161290322578E-2</v>
      </c>
      <c r="AE114" s="285">
        <f t="shared" si="117"/>
        <v>8.0645161290322578E-2</v>
      </c>
      <c r="AF114" s="285">
        <f t="shared" si="117"/>
        <v>8.0645161290322578E-2</v>
      </c>
      <c r="AG114" s="285">
        <f t="shared" si="117"/>
        <v>8.0645161290322578E-2</v>
      </c>
      <c r="AH114" s="285">
        <f t="shared" si="117"/>
        <v>8.0645161290322578E-2</v>
      </c>
      <c r="AI114" s="285">
        <f t="shared" si="117"/>
        <v>8.0645161290322578E-2</v>
      </c>
      <c r="AJ114" s="285">
        <f t="shared" si="117"/>
        <v>8.0645161290322578E-2</v>
      </c>
      <c r="AK114" s="285">
        <f t="shared" si="117"/>
        <v>8.0645161290322578E-2</v>
      </c>
      <c r="AL114" s="285">
        <f t="shared" si="117"/>
        <v>8.0645161290322578E-2</v>
      </c>
      <c r="AM114" s="285">
        <f t="shared" si="117"/>
        <v>8.0645161290322578E-2</v>
      </c>
      <c r="AN114" s="285">
        <f t="shared" si="117"/>
        <v>8.0645161290322578E-2</v>
      </c>
      <c r="AO114" s="285">
        <f t="shared" si="117"/>
        <v>8.0645161290322578E-2</v>
      </c>
      <c r="AP114" s="285">
        <f t="shared" si="117"/>
        <v>8.0645161290322578E-2</v>
      </c>
      <c r="AQ114" s="285">
        <f t="shared" si="117"/>
        <v>8.0645161290322578E-2</v>
      </c>
      <c r="AR114" s="285">
        <f t="shared" si="117"/>
        <v>8.0645161290322578E-2</v>
      </c>
      <c r="AS114" s="285">
        <f t="shared" si="117"/>
        <v>8.0645161290322578E-2</v>
      </c>
      <c r="AT114" s="285">
        <f t="shared" si="117"/>
        <v>8.0645161290322578E-2</v>
      </c>
      <c r="AU114" s="285">
        <f t="shared" si="117"/>
        <v>8.0645161290322578E-2</v>
      </c>
      <c r="AV114" s="285">
        <f t="shared" si="117"/>
        <v>8.0645161290322578E-2</v>
      </c>
      <c r="AW114" s="285">
        <f t="shared" si="117"/>
        <v>8.0645161290322578E-2</v>
      </c>
      <c r="AX114" s="285">
        <f t="shared" si="117"/>
        <v>8.0645161290322578E-2</v>
      </c>
      <c r="AY114" s="285">
        <f t="shared" si="117"/>
        <v>8.0645161290322578E-2</v>
      </c>
      <c r="AZ114" s="285">
        <f t="shared" si="117"/>
        <v>8.0645161290322578E-2</v>
      </c>
      <c r="BA114" s="285">
        <f t="shared" si="117"/>
        <v>8.0645161290322578E-2</v>
      </c>
      <c r="BB114" s="285">
        <f t="shared" si="117"/>
        <v>8.0645161290322578E-2</v>
      </c>
      <c r="BC114" s="285">
        <f t="shared" si="117"/>
        <v>8.0645161290322578E-2</v>
      </c>
      <c r="BD114" s="285">
        <f t="shared" si="117"/>
        <v>8.0645161290322578E-2</v>
      </c>
      <c r="BE114" s="285">
        <f t="shared" si="117"/>
        <v>8.0645161290322578E-2</v>
      </c>
      <c r="BF114" s="285">
        <f t="shared" si="117"/>
        <v>8.0645161290322578E-2</v>
      </c>
      <c r="BG114" s="285">
        <f t="shared" si="117"/>
        <v>8.0645161290322578E-2</v>
      </c>
      <c r="BH114" s="285">
        <f t="shared" si="117"/>
        <v>8.0645161290322578E-2</v>
      </c>
      <c r="BI114" s="285">
        <f t="shared" si="117"/>
        <v>8.0645161290322578E-2</v>
      </c>
      <c r="BJ114" s="285">
        <f t="shared" si="117"/>
        <v>8.0645161290322578E-2</v>
      </c>
      <c r="BK114" s="285">
        <f t="shared" si="117"/>
        <v>8.0645161290322578E-2</v>
      </c>
      <c r="BL114" s="285">
        <f t="shared" si="117"/>
        <v>8.0645161290322578E-2</v>
      </c>
      <c r="BM114" s="285">
        <f t="shared" si="117"/>
        <v>8.0645161290322578E-2</v>
      </c>
      <c r="BN114" s="285">
        <f t="shared" si="117"/>
        <v>8.0645161290322578E-2</v>
      </c>
      <c r="BO114" s="285">
        <f t="shared" si="117"/>
        <v>8.0645161290322578E-2</v>
      </c>
      <c r="BP114" s="285">
        <f t="shared" si="117"/>
        <v>8.0645161290322578E-2</v>
      </c>
      <c r="BQ114" s="285">
        <f t="shared" si="117"/>
        <v>8.0645161290322578E-2</v>
      </c>
      <c r="BR114" s="285">
        <f t="shared" si="117"/>
        <v>8.0645161290322578E-2</v>
      </c>
      <c r="BS114" s="285">
        <f t="shared" si="117"/>
        <v>8.0645161290322578E-2</v>
      </c>
      <c r="BT114" s="285">
        <f t="shared" si="117"/>
        <v>8.0645161290322578E-2</v>
      </c>
      <c r="BU114" s="285">
        <f t="shared" si="117"/>
        <v>8.0645161290322578E-2</v>
      </c>
      <c r="BV114" s="285">
        <f t="shared" si="117"/>
        <v>8.0645161290322578E-2</v>
      </c>
      <c r="BW114" s="285">
        <f t="shared" si="117"/>
        <v>8.0645161290322578E-2</v>
      </c>
      <c r="BX114" s="285">
        <f t="shared" si="117"/>
        <v>8.0645161290322578E-2</v>
      </c>
      <c r="BY114" s="285">
        <f t="shared" si="117"/>
        <v>8.0645161290322578E-2</v>
      </c>
      <c r="BZ114" s="285">
        <f t="shared" si="117"/>
        <v>8.0645161290322578E-2</v>
      </c>
      <c r="CA114" s="285">
        <f t="shared" si="117"/>
        <v>8.0645161290322578E-2</v>
      </c>
      <c r="CB114" s="285">
        <f t="shared" si="117"/>
        <v>8.0645161290322578E-2</v>
      </c>
      <c r="CC114" s="285">
        <f t="shared" ref="CC114:DU114" si="118">$C$114/$E$114/12</f>
        <v>8.0645161290322578E-2</v>
      </c>
      <c r="CD114" s="285">
        <f t="shared" si="118"/>
        <v>8.0645161290322578E-2</v>
      </c>
      <c r="CE114" s="285">
        <f t="shared" si="118"/>
        <v>8.0645161290322578E-2</v>
      </c>
      <c r="CF114" s="285">
        <f t="shared" si="118"/>
        <v>8.0645161290322578E-2</v>
      </c>
      <c r="CG114" s="285">
        <f t="shared" si="118"/>
        <v>8.0645161290322578E-2</v>
      </c>
      <c r="CH114" s="285">
        <f t="shared" si="118"/>
        <v>8.0645161290322578E-2</v>
      </c>
      <c r="CI114" s="285">
        <f t="shared" si="118"/>
        <v>8.0645161290322578E-2</v>
      </c>
      <c r="CJ114" s="285">
        <f t="shared" si="118"/>
        <v>8.0645161290322578E-2</v>
      </c>
      <c r="CK114" s="285">
        <f t="shared" si="118"/>
        <v>8.0645161290322578E-2</v>
      </c>
      <c r="CL114" s="285">
        <f t="shared" si="118"/>
        <v>8.0645161290322578E-2</v>
      </c>
      <c r="CM114" s="285">
        <f t="shared" si="118"/>
        <v>8.0645161290322578E-2</v>
      </c>
      <c r="CN114" s="285">
        <f t="shared" si="118"/>
        <v>8.0645161290322578E-2</v>
      </c>
      <c r="CO114" s="285">
        <f t="shared" si="118"/>
        <v>8.0645161290322578E-2</v>
      </c>
      <c r="CP114" s="285">
        <f t="shared" si="118"/>
        <v>8.0645161290322578E-2</v>
      </c>
      <c r="CQ114" s="285">
        <f t="shared" si="118"/>
        <v>8.0645161290322578E-2</v>
      </c>
      <c r="CR114" s="285">
        <f t="shared" si="118"/>
        <v>8.0645161290322578E-2</v>
      </c>
      <c r="CS114" s="285">
        <f t="shared" si="118"/>
        <v>8.0645161290322578E-2</v>
      </c>
      <c r="CT114" s="285">
        <f t="shared" si="118"/>
        <v>8.0645161290322578E-2</v>
      </c>
      <c r="CU114" s="285">
        <f t="shared" si="118"/>
        <v>8.0645161290322578E-2</v>
      </c>
      <c r="CV114" s="285">
        <f t="shared" si="118"/>
        <v>8.0645161290322578E-2</v>
      </c>
      <c r="CW114" s="285">
        <f t="shared" si="118"/>
        <v>8.0645161290322578E-2</v>
      </c>
      <c r="CX114" s="285">
        <f t="shared" si="118"/>
        <v>8.0645161290322578E-2</v>
      </c>
      <c r="CY114" s="285">
        <f t="shared" si="118"/>
        <v>8.0645161290322578E-2</v>
      </c>
      <c r="CZ114" s="285">
        <f t="shared" si="118"/>
        <v>8.0645161290322578E-2</v>
      </c>
      <c r="DA114" s="285">
        <f t="shared" si="118"/>
        <v>8.0645161290322578E-2</v>
      </c>
      <c r="DB114" s="285">
        <f t="shared" si="118"/>
        <v>8.0645161290322578E-2</v>
      </c>
      <c r="DC114" s="285">
        <f t="shared" si="118"/>
        <v>8.0645161290322578E-2</v>
      </c>
      <c r="DD114" s="285">
        <f t="shared" si="118"/>
        <v>8.0645161290322578E-2</v>
      </c>
      <c r="DE114" s="285">
        <f t="shared" si="118"/>
        <v>8.0645161290322578E-2</v>
      </c>
      <c r="DF114" s="285">
        <f t="shared" si="118"/>
        <v>8.0645161290322578E-2</v>
      </c>
      <c r="DG114" s="285">
        <f t="shared" si="118"/>
        <v>8.0645161290322578E-2</v>
      </c>
      <c r="DH114" s="285">
        <f t="shared" si="118"/>
        <v>8.0645161290322578E-2</v>
      </c>
      <c r="DI114" s="285">
        <f t="shared" si="118"/>
        <v>8.0645161290322578E-2</v>
      </c>
      <c r="DJ114" s="285">
        <f t="shared" si="118"/>
        <v>8.0645161290322578E-2</v>
      </c>
      <c r="DK114" s="285">
        <f t="shared" si="118"/>
        <v>8.0645161290322578E-2</v>
      </c>
      <c r="DL114" s="285">
        <f t="shared" si="118"/>
        <v>8.0645161290322578E-2</v>
      </c>
      <c r="DM114" s="285">
        <f t="shared" si="118"/>
        <v>8.0645161290322578E-2</v>
      </c>
      <c r="DN114" s="285">
        <f t="shared" si="118"/>
        <v>8.0645161290322578E-2</v>
      </c>
      <c r="DO114" s="285">
        <f t="shared" si="118"/>
        <v>8.0645161290322578E-2</v>
      </c>
      <c r="DP114" s="285">
        <f t="shared" si="118"/>
        <v>8.0645161290322578E-2</v>
      </c>
      <c r="DQ114" s="285">
        <f t="shared" si="118"/>
        <v>8.0645161290322578E-2</v>
      </c>
      <c r="DR114" s="285">
        <f t="shared" si="118"/>
        <v>8.0645161290322578E-2</v>
      </c>
      <c r="DS114" s="285">
        <f t="shared" si="118"/>
        <v>8.0645161290322578E-2</v>
      </c>
      <c r="DT114" s="285">
        <f t="shared" si="118"/>
        <v>8.0645161290322578E-2</v>
      </c>
      <c r="DU114" s="285">
        <f t="shared" si="118"/>
        <v>8.0645161290322578E-2</v>
      </c>
    </row>
    <row r="115" spans="1:125">
      <c r="A115" s="55"/>
      <c r="B115" s="277" t="str">
        <f t="shared" si="72"/>
        <v>Чугунные поворотные тиски с трубным зажимом и наковальней Berger BG ТОНАР 150мм BG1338</v>
      </c>
      <c r="C115" s="370">
        <f>E64-E64*Исх.данные!$B$21</f>
        <v>8.9833333333333325</v>
      </c>
      <c r="D115" s="383"/>
      <c r="E115" s="305">
        <v>31</v>
      </c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>
        <f>$C$115/$E$115/12</f>
        <v>2.4148745519713258E-2</v>
      </c>
      <c r="Q115" s="285">
        <f t="shared" ref="Q115:CB115" si="119">$C$115/$E$115/12</f>
        <v>2.4148745519713258E-2</v>
      </c>
      <c r="R115" s="285">
        <f t="shared" si="119"/>
        <v>2.4148745519713258E-2</v>
      </c>
      <c r="S115" s="285">
        <f t="shared" si="119"/>
        <v>2.4148745519713258E-2</v>
      </c>
      <c r="T115" s="285">
        <f t="shared" si="119"/>
        <v>2.4148745519713258E-2</v>
      </c>
      <c r="U115" s="285">
        <f t="shared" si="119"/>
        <v>2.4148745519713258E-2</v>
      </c>
      <c r="V115" s="285">
        <f t="shared" si="119"/>
        <v>2.4148745519713258E-2</v>
      </c>
      <c r="W115" s="285">
        <f t="shared" si="119"/>
        <v>2.4148745519713258E-2</v>
      </c>
      <c r="X115" s="285">
        <f t="shared" si="119"/>
        <v>2.4148745519713258E-2</v>
      </c>
      <c r="Y115" s="285">
        <f t="shared" si="119"/>
        <v>2.4148745519713258E-2</v>
      </c>
      <c r="Z115" s="285">
        <f t="shared" si="119"/>
        <v>2.4148745519713258E-2</v>
      </c>
      <c r="AA115" s="285">
        <f t="shared" si="119"/>
        <v>2.4148745519713258E-2</v>
      </c>
      <c r="AB115" s="285">
        <f t="shared" si="119"/>
        <v>2.4148745519713258E-2</v>
      </c>
      <c r="AC115" s="285">
        <f t="shared" si="119"/>
        <v>2.4148745519713258E-2</v>
      </c>
      <c r="AD115" s="285">
        <f t="shared" si="119"/>
        <v>2.4148745519713258E-2</v>
      </c>
      <c r="AE115" s="285">
        <f t="shared" si="119"/>
        <v>2.4148745519713258E-2</v>
      </c>
      <c r="AF115" s="285">
        <f t="shared" si="119"/>
        <v>2.4148745519713258E-2</v>
      </c>
      <c r="AG115" s="285">
        <f t="shared" si="119"/>
        <v>2.4148745519713258E-2</v>
      </c>
      <c r="AH115" s="285">
        <f t="shared" si="119"/>
        <v>2.4148745519713258E-2</v>
      </c>
      <c r="AI115" s="285">
        <f t="shared" si="119"/>
        <v>2.4148745519713258E-2</v>
      </c>
      <c r="AJ115" s="285">
        <f t="shared" si="119"/>
        <v>2.4148745519713258E-2</v>
      </c>
      <c r="AK115" s="285">
        <f t="shared" si="119"/>
        <v>2.4148745519713258E-2</v>
      </c>
      <c r="AL115" s="285">
        <f t="shared" si="119"/>
        <v>2.4148745519713258E-2</v>
      </c>
      <c r="AM115" s="285">
        <f t="shared" si="119"/>
        <v>2.4148745519713258E-2</v>
      </c>
      <c r="AN115" s="285">
        <f t="shared" si="119"/>
        <v>2.4148745519713258E-2</v>
      </c>
      <c r="AO115" s="285">
        <f t="shared" si="119"/>
        <v>2.4148745519713258E-2</v>
      </c>
      <c r="AP115" s="285">
        <f t="shared" si="119"/>
        <v>2.4148745519713258E-2</v>
      </c>
      <c r="AQ115" s="285">
        <f t="shared" si="119"/>
        <v>2.4148745519713258E-2</v>
      </c>
      <c r="AR115" s="285">
        <f t="shared" si="119"/>
        <v>2.4148745519713258E-2</v>
      </c>
      <c r="AS115" s="285">
        <f t="shared" si="119"/>
        <v>2.4148745519713258E-2</v>
      </c>
      <c r="AT115" s="285">
        <f t="shared" si="119"/>
        <v>2.4148745519713258E-2</v>
      </c>
      <c r="AU115" s="285">
        <f t="shared" si="119"/>
        <v>2.4148745519713258E-2</v>
      </c>
      <c r="AV115" s="285">
        <f t="shared" si="119"/>
        <v>2.4148745519713258E-2</v>
      </c>
      <c r="AW115" s="285">
        <f t="shared" si="119"/>
        <v>2.4148745519713258E-2</v>
      </c>
      <c r="AX115" s="285">
        <f t="shared" si="119"/>
        <v>2.4148745519713258E-2</v>
      </c>
      <c r="AY115" s="285">
        <f t="shared" si="119"/>
        <v>2.4148745519713258E-2</v>
      </c>
      <c r="AZ115" s="285">
        <f t="shared" si="119"/>
        <v>2.4148745519713258E-2</v>
      </c>
      <c r="BA115" s="285">
        <f t="shared" si="119"/>
        <v>2.4148745519713258E-2</v>
      </c>
      <c r="BB115" s="285">
        <f t="shared" si="119"/>
        <v>2.4148745519713258E-2</v>
      </c>
      <c r="BC115" s="285">
        <f t="shared" si="119"/>
        <v>2.4148745519713258E-2</v>
      </c>
      <c r="BD115" s="285">
        <f t="shared" si="119"/>
        <v>2.4148745519713258E-2</v>
      </c>
      <c r="BE115" s="285">
        <f t="shared" si="119"/>
        <v>2.4148745519713258E-2</v>
      </c>
      <c r="BF115" s="285">
        <f t="shared" si="119"/>
        <v>2.4148745519713258E-2</v>
      </c>
      <c r="BG115" s="285">
        <f t="shared" si="119"/>
        <v>2.4148745519713258E-2</v>
      </c>
      <c r="BH115" s="285">
        <f t="shared" si="119"/>
        <v>2.4148745519713258E-2</v>
      </c>
      <c r="BI115" s="285">
        <f t="shared" si="119"/>
        <v>2.4148745519713258E-2</v>
      </c>
      <c r="BJ115" s="285">
        <f t="shared" si="119"/>
        <v>2.4148745519713258E-2</v>
      </c>
      <c r="BK115" s="285">
        <f t="shared" si="119"/>
        <v>2.4148745519713258E-2</v>
      </c>
      <c r="BL115" s="285">
        <f t="shared" si="119"/>
        <v>2.4148745519713258E-2</v>
      </c>
      <c r="BM115" s="285">
        <f t="shared" si="119"/>
        <v>2.4148745519713258E-2</v>
      </c>
      <c r="BN115" s="285">
        <f t="shared" si="119"/>
        <v>2.4148745519713258E-2</v>
      </c>
      <c r="BO115" s="285">
        <f t="shared" si="119"/>
        <v>2.4148745519713258E-2</v>
      </c>
      <c r="BP115" s="285">
        <f t="shared" si="119"/>
        <v>2.4148745519713258E-2</v>
      </c>
      <c r="BQ115" s="285">
        <f t="shared" si="119"/>
        <v>2.4148745519713258E-2</v>
      </c>
      <c r="BR115" s="285">
        <f t="shared" si="119"/>
        <v>2.4148745519713258E-2</v>
      </c>
      <c r="BS115" s="285">
        <f t="shared" si="119"/>
        <v>2.4148745519713258E-2</v>
      </c>
      <c r="BT115" s="285">
        <f t="shared" si="119"/>
        <v>2.4148745519713258E-2</v>
      </c>
      <c r="BU115" s="285">
        <f t="shared" si="119"/>
        <v>2.4148745519713258E-2</v>
      </c>
      <c r="BV115" s="285">
        <f t="shared" si="119"/>
        <v>2.4148745519713258E-2</v>
      </c>
      <c r="BW115" s="285">
        <f t="shared" si="119"/>
        <v>2.4148745519713258E-2</v>
      </c>
      <c r="BX115" s="285">
        <f t="shared" si="119"/>
        <v>2.4148745519713258E-2</v>
      </c>
      <c r="BY115" s="285">
        <f t="shared" si="119"/>
        <v>2.4148745519713258E-2</v>
      </c>
      <c r="BZ115" s="285">
        <f t="shared" si="119"/>
        <v>2.4148745519713258E-2</v>
      </c>
      <c r="CA115" s="285">
        <f t="shared" si="119"/>
        <v>2.4148745519713258E-2</v>
      </c>
      <c r="CB115" s="285">
        <f t="shared" si="119"/>
        <v>2.4148745519713258E-2</v>
      </c>
      <c r="CC115" s="285">
        <f t="shared" ref="CC115:DU115" si="120">$C$115/$E$115/12</f>
        <v>2.4148745519713258E-2</v>
      </c>
      <c r="CD115" s="285">
        <f t="shared" si="120"/>
        <v>2.4148745519713258E-2</v>
      </c>
      <c r="CE115" s="285">
        <f t="shared" si="120"/>
        <v>2.4148745519713258E-2</v>
      </c>
      <c r="CF115" s="285">
        <f t="shared" si="120"/>
        <v>2.4148745519713258E-2</v>
      </c>
      <c r="CG115" s="285">
        <f t="shared" si="120"/>
        <v>2.4148745519713258E-2</v>
      </c>
      <c r="CH115" s="285">
        <f t="shared" si="120"/>
        <v>2.4148745519713258E-2</v>
      </c>
      <c r="CI115" s="285">
        <f t="shared" si="120"/>
        <v>2.4148745519713258E-2</v>
      </c>
      <c r="CJ115" s="285">
        <f t="shared" si="120"/>
        <v>2.4148745519713258E-2</v>
      </c>
      <c r="CK115" s="285">
        <f t="shared" si="120"/>
        <v>2.4148745519713258E-2</v>
      </c>
      <c r="CL115" s="285">
        <f t="shared" si="120"/>
        <v>2.4148745519713258E-2</v>
      </c>
      <c r="CM115" s="285">
        <f t="shared" si="120"/>
        <v>2.4148745519713258E-2</v>
      </c>
      <c r="CN115" s="285">
        <f t="shared" si="120"/>
        <v>2.4148745519713258E-2</v>
      </c>
      <c r="CO115" s="285">
        <f t="shared" si="120"/>
        <v>2.4148745519713258E-2</v>
      </c>
      <c r="CP115" s="285">
        <f t="shared" si="120"/>
        <v>2.4148745519713258E-2</v>
      </c>
      <c r="CQ115" s="285">
        <f t="shared" si="120"/>
        <v>2.4148745519713258E-2</v>
      </c>
      <c r="CR115" s="285">
        <f t="shared" si="120"/>
        <v>2.4148745519713258E-2</v>
      </c>
      <c r="CS115" s="285">
        <f t="shared" si="120"/>
        <v>2.4148745519713258E-2</v>
      </c>
      <c r="CT115" s="285">
        <f t="shared" si="120"/>
        <v>2.4148745519713258E-2</v>
      </c>
      <c r="CU115" s="285">
        <f t="shared" si="120"/>
        <v>2.4148745519713258E-2</v>
      </c>
      <c r="CV115" s="285">
        <f t="shared" si="120"/>
        <v>2.4148745519713258E-2</v>
      </c>
      <c r="CW115" s="285">
        <f t="shared" si="120"/>
        <v>2.4148745519713258E-2</v>
      </c>
      <c r="CX115" s="285">
        <f t="shared" si="120"/>
        <v>2.4148745519713258E-2</v>
      </c>
      <c r="CY115" s="285">
        <f t="shared" si="120"/>
        <v>2.4148745519713258E-2</v>
      </c>
      <c r="CZ115" s="285">
        <f t="shared" si="120"/>
        <v>2.4148745519713258E-2</v>
      </c>
      <c r="DA115" s="285">
        <f t="shared" si="120"/>
        <v>2.4148745519713258E-2</v>
      </c>
      <c r="DB115" s="285">
        <f t="shared" si="120"/>
        <v>2.4148745519713258E-2</v>
      </c>
      <c r="DC115" s="285">
        <f t="shared" si="120"/>
        <v>2.4148745519713258E-2</v>
      </c>
      <c r="DD115" s="285">
        <f t="shared" si="120"/>
        <v>2.4148745519713258E-2</v>
      </c>
      <c r="DE115" s="285">
        <f t="shared" si="120"/>
        <v>2.4148745519713258E-2</v>
      </c>
      <c r="DF115" s="285">
        <f t="shared" si="120"/>
        <v>2.4148745519713258E-2</v>
      </c>
      <c r="DG115" s="285">
        <f t="shared" si="120"/>
        <v>2.4148745519713258E-2</v>
      </c>
      <c r="DH115" s="285">
        <f t="shared" si="120"/>
        <v>2.4148745519713258E-2</v>
      </c>
      <c r="DI115" s="285">
        <f t="shared" si="120"/>
        <v>2.4148745519713258E-2</v>
      </c>
      <c r="DJ115" s="285">
        <f t="shared" si="120"/>
        <v>2.4148745519713258E-2</v>
      </c>
      <c r="DK115" s="285">
        <f t="shared" si="120"/>
        <v>2.4148745519713258E-2</v>
      </c>
      <c r="DL115" s="285">
        <f t="shared" si="120"/>
        <v>2.4148745519713258E-2</v>
      </c>
      <c r="DM115" s="285">
        <f t="shared" si="120"/>
        <v>2.4148745519713258E-2</v>
      </c>
      <c r="DN115" s="285">
        <f t="shared" si="120"/>
        <v>2.4148745519713258E-2</v>
      </c>
      <c r="DO115" s="285">
        <f t="shared" si="120"/>
        <v>2.4148745519713258E-2</v>
      </c>
      <c r="DP115" s="285">
        <f t="shared" si="120"/>
        <v>2.4148745519713258E-2</v>
      </c>
      <c r="DQ115" s="285">
        <f t="shared" si="120"/>
        <v>2.4148745519713258E-2</v>
      </c>
      <c r="DR115" s="285">
        <f t="shared" si="120"/>
        <v>2.4148745519713258E-2</v>
      </c>
      <c r="DS115" s="285">
        <f t="shared" si="120"/>
        <v>2.4148745519713258E-2</v>
      </c>
      <c r="DT115" s="285">
        <f t="shared" si="120"/>
        <v>2.4148745519713258E-2</v>
      </c>
      <c r="DU115" s="285">
        <f t="shared" si="120"/>
        <v>2.4148745519713258E-2</v>
      </c>
    </row>
    <row r="116" spans="1:125">
      <c r="A116" s="55"/>
      <c r="B116" s="277" t="str">
        <f t="shared" si="72"/>
        <v>Газификатор</v>
      </c>
      <c r="C116" s="370">
        <f>E65-E65*Исх.данные!$B$21</f>
        <v>716.66666666666663</v>
      </c>
      <c r="D116" s="383"/>
      <c r="E116" s="305">
        <v>31</v>
      </c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>
        <f>$C$116/$E$116/12</f>
        <v>1.9265232974910393</v>
      </c>
      <c r="Q116" s="285">
        <f t="shared" ref="Q116:CB116" si="121">$C$116/$E$116/12</f>
        <v>1.9265232974910393</v>
      </c>
      <c r="R116" s="285">
        <f t="shared" si="121"/>
        <v>1.9265232974910393</v>
      </c>
      <c r="S116" s="285">
        <f t="shared" si="121"/>
        <v>1.9265232974910393</v>
      </c>
      <c r="T116" s="285">
        <f t="shared" si="121"/>
        <v>1.9265232974910393</v>
      </c>
      <c r="U116" s="285">
        <f t="shared" si="121"/>
        <v>1.9265232974910393</v>
      </c>
      <c r="V116" s="285">
        <f t="shared" si="121"/>
        <v>1.9265232974910393</v>
      </c>
      <c r="W116" s="285">
        <f t="shared" si="121"/>
        <v>1.9265232974910393</v>
      </c>
      <c r="X116" s="285">
        <f t="shared" si="121"/>
        <v>1.9265232974910393</v>
      </c>
      <c r="Y116" s="285">
        <f t="shared" si="121"/>
        <v>1.9265232974910393</v>
      </c>
      <c r="Z116" s="285">
        <f t="shared" si="121"/>
        <v>1.9265232974910393</v>
      </c>
      <c r="AA116" s="285">
        <f t="shared" si="121"/>
        <v>1.9265232974910393</v>
      </c>
      <c r="AB116" s="285">
        <f t="shared" si="121"/>
        <v>1.9265232974910393</v>
      </c>
      <c r="AC116" s="285">
        <f t="shared" si="121"/>
        <v>1.9265232974910393</v>
      </c>
      <c r="AD116" s="285">
        <f t="shared" si="121"/>
        <v>1.9265232974910393</v>
      </c>
      <c r="AE116" s="285">
        <f t="shared" si="121"/>
        <v>1.9265232974910393</v>
      </c>
      <c r="AF116" s="285">
        <f t="shared" si="121"/>
        <v>1.9265232974910393</v>
      </c>
      <c r="AG116" s="285">
        <f t="shared" si="121"/>
        <v>1.9265232974910393</v>
      </c>
      <c r="AH116" s="285">
        <f t="shared" si="121"/>
        <v>1.9265232974910393</v>
      </c>
      <c r="AI116" s="285">
        <f t="shared" si="121"/>
        <v>1.9265232974910393</v>
      </c>
      <c r="AJ116" s="285">
        <f t="shared" si="121"/>
        <v>1.9265232974910393</v>
      </c>
      <c r="AK116" s="285">
        <f t="shared" si="121"/>
        <v>1.9265232974910393</v>
      </c>
      <c r="AL116" s="285">
        <f t="shared" si="121"/>
        <v>1.9265232974910393</v>
      </c>
      <c r="AM116" s="285">
        <f t="shared" si="121"/>
        <v>1.9265232974910393</v>
      </c>
      <c r="AN116" s="285">
        <f t="shared" si="121"/>
        <v>1.9265232974910393</v>
      </c>
      <c r="AO116" s="285">
        <f t="shared" si="121"/>
        <v>1.9265232974910393</v>
      </c>
      <c r="AP116" s="285">
        <f t="shared" si="121"/>
        <v>1.9265232974910393</v>
      </c>
      <c r="AQ116" s="285">
        <f t="shared" si="121"/>
        <v>1.9265232974910393</v>
      </c>
      <c r="AR116" s="285">
        <f t="shared" si="121"/>
        <v>1.9265232974910393</v>
      </c>
      <c r="AS116" s="285">
        <f t="shared" si="121"/>
        <v>1.9265232974910393</v>
      </c>
      <c r="AT116" s="285">
        <f t="shared" si="121"/>
        <v>1.9265232974910393</v>
      </c>
      <c r="AU116" s="285">
        <f t="shared" si="121"/>
        <v>1.9265232974910393</v>
      </c>
      <c r="AV116" s="285">
        <f t="shared" si="121"/>
        <v>1.9265232974910393</v>
      </c>
      <c r="AW116" s="285">
        <f t="shared" si="121"/>
        <v>1.9265232974910393</v>
      </c>
      <c r="AX116" s="285">
        <f t="shared" si="121"/>
        <v>1.9265232974910393</v>
      </c>
      <c r="AY116" s="285">
        <f t="shared" si="121"/>
        <v>1.9265232974910393</v>
      </c>
      <c r="AZ116" s="285">
        <f t="shared" si="121"/>
        <v>1.9265232974910393</v>
      </c>
      <c r="BA116" s="285">
        <f t="shared" si="121"/>
        <v>1.9265232974910393</v>
      </c>
      <c r="BB116" s="285">
        <f t="shared" si="121"/>
        <v>1.9265232974910393</v>
      </c>
      <c r="BC116" s="285">
        <f t="shared" si="121"/>
        <v>1.9265232974910393</v>
      </c>
      <c r="BD116" s="285">
        <f t="shared" si="121"/>
        <v>1.9265232974910393</v>
      </c>
      <c r="BE116" s="285">
        <f t="shared" si="121"/>
        <v>1.9265232974910393</v>
      </c>
      <c r="BF116" s="285">
        <f t="shared" si="121"/>
        <v>1.9265232974910393</v>
      </c>
      <c r="BG116" s="285">
        <f t="shared" si="121"/>
        <v>1.9265232974910393</v>
      </c>
      <c r="BH116" s="285">
        <f t="shared" si="121"/>
        <v>1.9265232974910393</v>
      </c>
      <c r="BI116" s="285">
        <f t="shared" si="121"/>
        <v>1.9265232974910393</v>
      </c>
      <c r="BJ116" s="285">
        <f t="shared" si="121"/>
        <v>1.9265232974910393</v>
      </c>
      <c r="BK116" s="285">
        <f t="shared" si="121"/>
        <v>1.9265232974910393</v>
      </c>
      <c r="BL116" s="285">
        <f t="shared" si="121"/>
        <v>1.9265232974910393</v>
      </c>
      <c r="BM116" s="285">
        <f t="shared" si="121"/>
        <v>1.9265232974910393</v>
      </c>
      <c r="BN116" s="285">
        <f t="shared" si="121"/>
        <v>1.9265232974910393</v>
      </c>
      <c r="BO116" s="285">
        <f t="shared" si="121"/>
        <v>1.9265232974910393</v>
      </c>
      <c r="BP116" s="285">
        <f t="shared" si="121"/>
        <v>1.9265232974910393</v>
      </c>
      <c r="BQ116" s="285">
        <f t="shared" si="121"/>
        <v>1.9265232974910393</v>
      </c>
      <c r="BR116" s="285">
        <f t="shared" si="121"/>
        <v>1.9265232974910393</v>
      </c>
      <c r="BS116" s="285">
        <f t="shared" si="121"/>
        <v>1.9265232974910393</v>
      </c>
      <c r="BT116" s="285">
        <f t="shared" si="121"/>
        <v>1.9265232974910393</v>
      </c>
      <c r="BU116" s="285">
        <f t="shared" si="121"/>
        <v>1.9265232974910393</v>
      </c>
      <c r="BV116" s="285">
        <f t="shared" si="121"/>
        <v>1.9265232974910393</v>
      </c>
      <c r="BW116" s="285">
        <f t="shared" si="121"/>
        <v>1.9265232974910393</v>
      </c>
      <c r="BX116" s="285">
        <f t="shared" si="121"/>
        <v>1.9265232974910393</v>
      </c>
      <c r="BY116" s="285">
        <f t="shared" si="121"/>
        <v>1.9265232974910393</v>
      </c>
      <c r="BZ116" s="285">
        <f t="shared" si="121"/>
        <v>1.9265232974910393</v>
      </c>
      <c r="CA116" s="285">
        <f t="shared" si="121"/>
        <v>1.9265232974910393</v>
      </c>
      <c r="CB116" s="285">
        <f t="shared" si="121"/>
        <v>1.9265232974910393</v>
      </c>
      <c r="CC116" s="285">
        <f t="shared" ref="CC116:DU116" si="122">$C$116/$E$116/12</f>
        <v>1.9265232974910393</v>
      </c>
      <c r="CD116" s="285">
        <f t="shared" si="122"/>
        <v>1.9265232974910393</v>
      </c>
      <c r="CE116" s="285">
        <f t="shared" si="122"/>
        <v>1.9265232974910393</v>
      </c>
      <c r="CF116" s="285">
        <f t="shared" si="122"/>
        <v>1.9265232974910393</v>
      </c>
      <c r="CG116" s="285">
        <f t="shared" si="122"/>
        <v>1.9265232974910393</v>
      </c>
      <c r="CH116" s="285">
        <f t="shared" si="122"/>
        <v>1.9265232974910393</v>
      </c>
      <c r="CI116" s="285">
        <f t="shared" si="122"/>
        <v>1.9265232974910393</v>
      </c>
      <c r="CJ116" s="285">
        <f t="shared" si="122"/>
        <v>1.9265232974910393</v>
      </c>
      <c r="CK116" s="285">
        <f t="shared" si="122"/>
        <v>1.9265232974910393</v>
      </c>
      <c r="CL116" s="285">
        <f t="shared" si="122"/>
        <v>1.9265232974910393</v>
      </c>
      <c r="CM116" s="285">
        <f t="shared" si="122"/>
        <v>1.9265232974910393</v>
      </c>
      <c r="CN116" s="285">
        <f t="shared" si="122"/>
        <v>1.9265232974910393</v>
      </c>
      <c r="CO116" s="285">
        <f t="shared" si="122"/>
        <v>1.9265232974910393</v>
      </c>
      <c r="CP116" s="285">
        <f t="shared" si="122"/>
        <v>1.9265232974910393</v>
      </c>
      <c r="CQ116" s="285">
        <f t="shared" si="122"/>
        <v>1.9265232974910393</v>
      </c>
      <c r="CR116" s="285">
        <f t="shared" si="122"/>
        <v>1.9265232974910393</v>
      </c>
      <c r="CS116" s="285">
        <f t="shared" si="122"/>
        <v>1.9265232974910393</v>
      </c>
      <c r="CT116" s="285">
        <f t="shared" si="122"/>
        <v>1.9265232974910393</v>
      </c>
      <c r="CU116" s="285">
        <f t="shared" si="122"/>
        <v>1.9265232974910393</v>
      </c>
      <c r="CV116" s="285">
        <f t="shared" si="122"/>
        <v>1.9265232974910393</v>
      </c>
      <c r="CW116" s="285">
        <f t="shared" si="122"/>
        <v>1.9265232974910393</v>
      </c>
      <c r="CX116" s="285">
        <f t="shared" si="122"/>
        <v>1.9265232974910393</v>
      </c>
      <c r="CY116" s="285">
        <f t="shared" si="122"/>
        <v>1.9265232974910393</v>
      </c>
      <c r="CZ116" s="285">
        <f t="shared" si="122"/>
        <v>1.9265232974910393</v>
      </c>
      <c r="DA116" s="285">
        <f t="shared" si="122"/>
        <v>1.9265232974910393</v>
      </c>
      <c r="DB116" s="285">
        <f t="shared" si="122"/>
        <v>1.9265232974910393</v>
      </c>
      <c r="DC116" s="285">
        <f t="shared" si="122"/>
        <v>1.9265232974910393</v>
      </c>
      <c r="DD116" s="285">
        <f t="shared" si="122"/>
        <v>1.9265232974910393</v>
      </c>
      <c r="DE116" s="285">
        <f t="shared" si="122"/>
        <v>1.9265232974910393</v>
      </c>
      <c r="DF116" s="285">
        <f t="shared" si="122"/>
        <v>1.9265232974910393</v>
      </c>
      <c r="DG116" s="285">
        <f t="shared" si="122"/>
        <v>1.9265232974910393</v>
      </c>
      <c r="DH116" s="285">
        <f t="shared" si="122"/>
        <v>1.9265232974910393</v>
      </c>
      <c r="DI116" s="285">
        <f t="shared" si="122"/>
        <v>1.9265232974910393</v>
      </c>
      <c r="DJ116" s="285">
        <f t="shared" si="122"/>
        <v>1.9265232974910393</v>
      </c>
      <c r="DK116" s="285">
        <f t="shared" si="122"/>
        <v>1.9265232974910393</v>
      </c>
      <c r="DL116" s="285">
        <f t="shared" si="122"/>
        <v>1.9265232974910393</v>
      </c>
      <c r="DM116" s="285">
        <f t="shared" si="122"/>
        <v>1.9265232974910393</v>
      </c>
      <c r="DN116" s="285">
        <f t="shared" si="122"/>
        <v>1.9265232974910393</v>
      </c>
      <c r="DO116" s="285">
        <f t="shared" si="122"/>
        <v>1.9265232974910393</v>
      </c>
      <c r="DP116" s="285">
        <f t="shared" si="122"/>
        <v>1.9265232974910393</v>
      </c>
      <c r="DQ116" s="285">
        <f t="shared" si="122"/>
        <v>1.9265232974910393</v>
      </c>
      <c r="DR116" s="285">
        <f t="shared" si="122"/>
        <v>1.9265232974910393</v>
      </c>
      <c r="DS116" s="285">
        <f t="shared" si="122"/>
        <v>1.9265232974910393</v>
      </c>
      <c r="DT116" s="285">
        <f t="shared" si="122"/>
        <v>1.9265232974910393</v>
      </c>
      <c r="DU116" s="285">
        <f t="shared" si="122"/>
        <v>1.9265232974910393</v>
      </c>
    </row>
    <row r="117" spans="1:125">
      <c r="A117" s="55"/>
      <c r="B117" s="277" t="str">
        <f t="shared" si="72"/>
        <v xml:space="preserve">Тиски, патроны, сверла </v>
      </c>
      <c r="C117" s="370">
        <f>E66-E66*Исх.данные!$B$21</f>
        <v>25</v>
      </c>
      <c r="D117" s="383"/>
      <c r="E117" s="305">
        <v>31</v>
      </c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>
        <f>$C$117/$E$117/12</f>
        <v>6.7204301075268813E-2</v>
      </c>
      <c r="Q117" s="285">
        <f t="shared" ref="Q117:CB117" si="123">$C$117/$E$117/12</f>
        <v>6.7204301075268813E-2</v>
      </c>
      <c r="R117" s="285">
        <f t="shared" si="123"/>
        <v>6.7204301075268813E-2</v>
      </c>
      <c r="S117" s="285">
        <f t="shared" si="123"/>
        <v>6.7204301075268813E-2</v>
      </c>
      <c r="T117" s="285">
        <f t="shared" si="123"/>
        <v>6.7204301075268813E-2</v>
      </c>
      <c r="U117" s="285">
        <f t="shared" si="123"/>
        <v>6.7204301075268813E-2</v>
      </c>
      <c r="V117" s="285">
        <f t="shared" si="123"/>
        <v>6.7204301075268813E-2</v>
      </c>
      <c r="W117" s="285">
        <f t="shared" si="123"/>
        <v>6.7204301075268813E-2</v>
      </c>
      <c r="X117" s="285">
        <f t="shared" si="123"/>
        <v>6.7204301075268813E-2</v>
      </c>
      <c r="Y117" s="285">
        <f t="shared" si="123"/>
        <v>6.7204301075268813E-2</v>
      </c>
      <c r="Z117" s="285">
        <f t="shared" si="123"/>
        <v>6.7204301075268813E-2</v>
      </c>
      <c r="AA117" s="285">
        <f t="shared" si="123"/>
        <v>6.7204301075268813E-2</v>
      </c>
      <c r="AB117" s="285">
        <f t="shared" si="123"/>
        <v>6.7204301075268813E-2</v>
      </c>
      <c r="AC117" s="285">
        <f t="shared" si="123"/>
        <v>6.7204301075268813E-2</v>
      </c>
      <c r="AD117" s="285">
        <f t="shared" si="123"/>
        <v>6.7204301075268813E-2</v>
      </c>
      <c r="AE117" s="285">
        <f t="shared" si="123"/>
        <v>6.7204301075268813E-2</v>
      </c>
      <c r="AF117" s="285">
        <f t="shared" si="123"/>
        <v>6.7204301075268813E-2</v>
      </c>
      <c r="AG117" s="285">
        <f t="shared" si="123"/>
        <v>6.7204301075268813E-2</v>
      </c>
      <c r="AH117" s="285">
        <f t="shared" si="123"/>
        <v>6.7204301075268813E-2</v>
      </c>
      <c r="AI117" s="285">
        <f t="shared" si="123"/>
        <v>6.7204301075268813E-2</v>
      </c>
      <c r="AJ117" s="285">
        <f t="shared" si="123"/>
        <v>6.7204301075268813E-2</v>
      </c>
      <c r="AK117" s="285">
        <f t="shared" si="123"/>
        <v>6.7204301075268813E-2</v>
      </c>
      <c r="AL117" s="285">
        <f t="shared" si="123"/>
        <v>6.7204301075268813E-2</v>
      </c>
      <c r="AM117" s="285">
        <f t="shared" si="123"/>
        <v>6.7204301075268813E-2</v>
      </c>
      <c r="AN117" s="285">
        <f t="shared" si="123"/>
        <v>6.7204301075268813E-2</v>
      </c>
      <c r="AO117" s="285">
        <f t="shared" si="123"/>
        <v>6.7204301075268813E-2</v>
      </c>
      <c r="AP117" s="285">
        <f t="shared" si="123"/>
        <v>6.7204301075268813E-2</v>
      </c>
      <c r="AQ117" s="285">
        <f t="shared" si="123"/>
        <v>6.7204301075268813E-2</v>
      </c>
      <c r="AR117" s="285">
        <f t="shared" si="123"/>
        <v>6.7204301075268813E-2</v>
      </c>
      <c r="AS117" s="285">
        <f t="shared" si="123"/>
        <v>6.7204301075268813E-2</v>
      </c>
      <c r="AT117" s="285">
        <f t="shared" si="123"/>
        <v>6.7204301075268813E-2</v>
      </c>
      <c r="AU117" s="285">
        <f t="shared" si="123"/>
        <v>6.7204301075268813E-2</v>
      </c>
      <c r="AV117" s="285">
        <f t="shared" si="123"/>
        <v>6.7204301075268813E-2</v>
      </c>
      <c r="AW117" s="285">
        <f t="shared" si="123"/>
        <v>6.7204301075268813E-2</v>
      </c>
      <c r="AX117" s="285">
        <f t="shared" si="123"/>
        <v>6.7204301075268813E-2</v>
      </c>
      <c r="AY117" s="285">
        <f t="shared" si="123"/>
        <v>6.7204301075268813E-2</v>
      </c>
      <c r="AZ117" s="285">
        <f t="shared" si="123"/>
        <v>6.7204301075268813E-2</v>
      </c>
      <c r="BA117" s="285">
        <f t="shared" si="123"/>
        <v>6.7204301075268813E-2</v>
      </c>
      <c r="BB117" s="285">
        <f t="shared" si="123"/>
        <v>6.7204301075268813E-2</v>
      </c>
      <c r="BC117" s="285">
        <f t="shared" si="123"/>
        <v>6.7204301075268813E-2</v>
      </c>
      <c r="BD117" s="285">
        <f t="shared" si="123"/>
        <v>6.7204301075268813E-2</v>
      </c>
      <c r="BE117" s="285">
        <f t="shared" si="123"/>
        <v>6.7204301075268813E-2</v>
      </c>
      <c r="BF117" s="285">
        <f t="shared" si="123"/>
        <v>6.7204301075268813E-2</v>
      </c>
      <c r="BG117" s="285">
        <f t="shared" si="123"/>
        <v>6.7204301075268813E-2</v>
      </c>
      <c r="BH117" s="285">
        <f t="shared" si="123"/>
        <v>6.7204301075268813E-2</v>
      </c>
      <c r="BI117" s="285">
        <f t="shared" si="123"/>
        <v>6.7204301075268813E-2</v>
      </c>
      <c r="BJ117" s="285">
        <f t="shared" si="123"/>
        <v>6.7204301075268813E-2</v>
      </c>
      <c r="BK117" s="285">
        <f t="shared" si="123"/>
        <v>6.7204301075268813E-2</v>
      </c>
      <c r="BL117" s="285">
        <f t="shared" si="123"/>
        <v>6.7204301075268813E-2</v>
      </c>
      <c r="BM117" s="285">
        <f t="shared" si="123"/>
        <v>6.7204301075268813E-2</v>
      </c>
      <c r="BN117" s="285">
        <f t="shared" si="123"/>
        <v>6.7204301075268813E-2</v>
      </c>
      <c r="BO117" s="285">
        <f t="shared" si="123"/>
        <v>6.7204301075268813E-2</v>
      </c>
      <c r="BP117" s="285">
        <f t="shared" si="123"/>
        <v>6.7204301075268813E-2</v>
      </c>
      <c r="BQ117" s="285">
        <f t="shared" si="123"/>
        <v>6.7204301075268813E-2</v>
      </c>
      <c r="BR117" s="285">
        <f t="shared" si="123"/>
        <v>6.7204301075268813E-2</v>
      </c>
      <c r="BS117" s="285">
        <f t="shared" si="123"/>
        <v>6.7204301075268813E-2</v>
      </c>
      <c r="BT117" s="285">
        <f t="shared" si="123"/>
        <v>6.7204301075268813E-2</v>
      </c>
      <c r="BU117" s="285">
        <f t="shared" si="123"/>
        <v>6.7204301075268813E-2</v>
      </c>
      <c r="BV117" s="285">
        <f t="shared" si="123"/>
        <v>6.7204301075268813E-2</v>
      </c>
      <c r="BW117" s="285">
        <f t="shared" si="123"/>
        <v>6.7204301075268813E-2</v>
      </c>
      <c r="BX117" s="285">
        <f t="shared" si="123"/>
        <v>6.7204301075268813E-2</v>
      </c>
      <c r="BY117" s="285">
        <f t="shared" si="123"/>
        <v>6.7204301075268813E-2</v>
      </c>
      <c r="BZ117" s="285">
        <f t="shared" si="123"/>
        <v>6.7204301075268813E-2</v>
      </c>
      <c r="CA117" s="285">
        <f t="shared" si="123"/>
        <v>6.7204301075268813E-2</v>
      </c>
      <c r="CB117" s="285">
        <f t="shared" si="123"/>
        <v>6.7204301075268813E-2</v>
      </c>
      <c r="CC117" s="285">
        <f t="shared" ref="CC117:DU117" si="124">$C$117/$E$117/12</f>
        <v>6.7204301075268813E-2</v>
      </c>
      <c r="CD117" s="285">
        <f t="shared" si="124"/>
        <v>6.7204301075268813E-2</v>
      </c>
      <c r="CE117" s="285">
        <f t="shared" si="124"/>
        <v>6.7204301075268813E-2</v>
      </c>
      <c r="CF117" s="285">
        <f t="shared" si="124"/>
        <v>6.7204301075268813E-2</v>
      </c>
      <c r="CG117" s="285">
        <f t="shared" si="124"/>
        <v>6.7204301075268813E-2</v>
      </c>
      <c r="CH117" s="285">
        <f t="shared" si="124"/>
        <v>6.7204301075268813E-2</v>
      </c>
      <c r="CI117" s="285">
        <f t="shared" si="124"/>
        <v>6.7204301075268813E-2</v>
      </c>
      <c r="CJ117" s="285">
        <f t="shared" si="124"/>
        <v>6.7204301075268813E-2</v>
      </c>
      <c r="CK117" s="285">
        <f t="shared" si="124"/>
        <v>6.7204301075268813E-2</v>
      </c>
      <c r="CL117" s="285">
        <f t="shared" si="124"/>
        <v>6.7204301075268813E-2</v>
      </c>
      <c r="CM117" s="285">
        <f t="shared" si="124"/>
        <v>6.7204301075268813E-2</v>
      </c>
      <c r="CN117" s="285">
        <f t="shared" si="124"/>
        <v>6.7204301075268813E-2</v>
      </c>
      <c r="CO117" s="285">
        <f t="shared" si="124"/>
        <v>6.7204301075268813E-2</v>
      </c>
      <c r="CP117" s="285">
        <f t="shared" si="124"/>
        <v>6.7204301075268813E-2</v>
      </c>
      <c r="CQ117" s="285">
        <f t="shared" si="124"/>
        <v>6.7204301075268813E-2</v>
      </c>
      <c r="CR117" s="285">
        <f t="shared" si="124"/>
        <v>6.7204301075268813E-2</v>
      </c>
      <c r="CS117" s="285">
        <f t="shared" si="124"/>
        <v>6.7204301075268813E-2</v>
      </c>
      <c r="CT117" s="285">
        <f t="shared" si="124"/>
        <v>6.7204301075268813E-2</v>
      </c>
      <c r="CU117" s="285">
        <f t="shared" si="124"/>
        <v>6.7204301075268813E-2</v>
      </c>
      <c r="CV117" s="285">
        <f t="shared" si="124"/>
        <v>6.7204301075268813E-2</v>
      </c>
      <c r="CW117" s="285">
        <f t="shared" si="124"/>
        <v>6.7204301075268813E-2</v>
      </c>
      <c r="CX117" s="285">
        <f t="shared" si="124"/>
        <v>6.7204301075268813E-2</v>
      </c>
      <c r="CY117" s="285">
        <f t="shared" si="124"/>
        <v>6.7204301075268813E-2</v>
      </c>
      <c r="CZ117" s="285">
        <f t="shared" si="124"/>
        <v>6.7204301075268813E-2</v>
      </c>
      <c r="DA117" s="285">
        <f t="shared" si="124"/>
        <v>6.7204301075268813E-2</v>
      </c>
      <c r="DB117" s="285">
        <f t="shared" si="124"/>
        <v>6.7204301075268813E-2</v>
      </c>
      <c r="DC117" s="285">
        <f t="shared" si="124"/>
        <v>6.7204301075268813E-2</v>
      </c>
      <c r="DD117" s="285">
        <f t="shared" si="124"/>
        <v>6.7204301075268813E-2</v>
      </c>
      <c r="DE117" s="285">
        <f t="shared" si="124"/>
        <v>6.7204301075268813E-2</v>
      </c>
      <c r="DF117" s="285">
        <f t="shared" si="124"/>
        <v>6.7204301075268813E-2</v>
      </c>
      <c r="DG117" s="285">
        <f t="shared" si="124"/>
        <v>6.7204301075268813E-2</v>
      </c>
      <c r="DH117" s="285">
        <f t="shared" si="124"/>
        <v>6.7204301075268813E-2</v>
      </c>
      <c r="DI117" s="285">
        <f t="shared" si="124"/>
        <v>6.7204301075268813E-2</v>
      </c>
      <c r="DJ117" s="285">
        <f t="shared" si="124"/>
        <v>6.7204301075268813E-2</v>
      </c>
      <c r="DK117" s="285">
        <f t="shared" si="124"/>
        <v>6.7204301075268813E-2</v>
      </c>
      <c r="DL117" s="285">
        <f t="shared" si="124"/>
        <v>6.7204301075268813E-2</v>
      </c>
      <c r="DM117" s="285">
        <f t="shared" si="124"/>
        <v>6.7204301075268813E-2</v>
      </c>
      <c r="DN117" s="285">
        <f t="shared" si="124"/>
        <v>6.7204301075268813E-2</v>
      </c>
      <c r="DO117" s="285">
        <f t="shared" si="124"/>
        <v>6.7204301075268813E-2</v>
      </c>
      <c r="DP117" s="285">
        <f t="shared" si="124"/>
        <v>6.7204301075268813E-2</v>
      </c>
      <c r="DQ117" s="285">
        <f t="shared" si="124"/>
        <v>6.7204301075268813E-2</v>
      </c>
      <c r="DR117" s="285">
        <f t="shared" si="124"/>
        <v>6.7204301075268813E-2</v>
      </c>
      <c r="DS117" s="285">
        <f t="shared" si="124"/>
        <v>6.7204301075268813E-2</v>
      </c>
      <c r="DT117" s="285">
        <f t="shared" si="124"/>
        <v>6.7204301075268813E-2</v>
      </c>
      <c r="DU117" s="285">
        <f t="shared" si="124"/>
        <v>6.7204301075268813E-2</v>
      </c>
    </row>
    <row r="118" spans="1:125">
      <c r="A118" s="55"/>
      <c r="B118" s="277" t="str">
        <f t="shared" si="72"/>
        <v>Метчики</v>
      </c>
      <c r="C118" s="370">
        <f>E67-E67*Исх.данные!$B$21</f>
        <v>16.666666666666664</v>
      </c>
      <c r="D118" s="383"/>
      <c r="E118" s="305">
        <v>31</v>
      </c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>
        <f>$C$118/$E$118/12</f>
        <v>4.4802867383512544E-2</v>
      </c>
      <c r="Q118" s="285">
        <f t="shared" ref="Q118:CB118" si="125">$C$118/$E$118/12</f>
        <v>4.4802867383512544E-2</v>
      </c>
      <c r="R118" s="285">
        <f t="shared" si="125"/>
        <v>4.4802867383512544E-2</v>
      </c>
      <c r="S118" s="285">
        <f t="shared" si="125"/>
        <v>4.4802867383512544E-2</v>
      </c>
      <c r="T118" s="285">
        <f t="shared" si="125"/>
        <v>4.4802867383512544E-2</v>
      </c>
      <c r="U118" s="285">
        <f t="shared" si="125"/>
        <v>4.4802867383512544E-2</v>
      </c>
      <c r="V118" s="285">
        <f t="shared" si="125"/>
        <v>4.4802867383512544E-2</v>
      </c>
      <c r="W118" s="285">
        <f t="shared" si="125"/>
        <v>4.4802867383512544E-2</v>
      </c>
      <c r="X118" s="285">
        <f t="shared" si="125"/>
        <v>4.4802867383512544E-2</v>
      </c>
      <c r="Y118" s="285">
        <f t="shared" si="125"/>
        <v>4.4802867383512544E-2</v>
      </c>
      <c r="Z118" s="285">
        <f t="shared" si="125"/>
        <v>4.4802867383512544E-2</v>
      </c>
      <c r="AA118" s="285">
        <f t="shared" si="125"/>
        <v>4.4802867383512544E-2</v>
      </c>
      <c r="AB118" s="285">
        <f t="shared" si="125"/>
        <v>4.4802867383512544E-2</v>
      </c>
      <c r="AC118" s="285">
        <f t="shared" si="125"/>
        <v>4.4802867383512544E-2</v>
      </c>
      <c r="AD118" s="285">
        <f t="shared" si="125"/>
        <v>4.4802867383512544E-2</v>
      </c>
      <c r="AE118" s="285">
        <f t="shared" si="125"/>
        <v>4.4802867383512544E-2</v>
      </c>
      <c r="AF118" s="285">
        <f t="shared" si="125"/>
        <v>4.4802867383512544E-2</v>
      </c>
      <c r="AG118" s="285">
        <f t="shared" si="125"/>
        <v>4.4802867383512544E-2</v>
      </c>
      <c r="AH118" s="285">
        <f t="shared" si="125"/>
        <v>4.4802867383512544E-2</v>
      </c>
      <c r="AI118" s="285">
        <f t="shared" si="125"/>
        <v>4.4802867383512544E-2</v>
      </c>
      <c r="AJ118" s="285">
        <f t="shared" si="125"/>
        <v>4.4802867383512544E-2</v>
      </c>
      <c r="AK118" s="285">
        <f t="shared" si="125"/>
        <v>4.4802867383512544E-2</v>
      </c>
      <c r="AL118" s="285">
        <f t="shared" si="125"/>
        <v>4.4802867383512544E-2</v>
      </c>
      <c r="AM118" s="285">
        <f t="shared" si="125"/>
        <v>4.4802867383512544E-2</v>
      </c>
      <c r="AN118" s="285">
        <f t="shared" si="125"/>
        <v>4.4802867383512544E-2</v>
      </c>
      <c r="AO118" s="285">
        <f t="shared" si="125"/>
        <v>4.4802867383512544E-2</v>
      </c>
      <c r="AP118" s="285">
        <f t="shared" si="125"/>
        <v>4.4802867383512544E-2</v>
      </c>
      <c r="AQ118" s="285">
        <f t="shared" si="125"/>
        <v>4.4802867383512544E-2</v>
      </c>
      <c r="AR118" s="285">
        <f t="shared" si="125"/>
        <v>4.4802867383512544E-2</v>
      </c>
      <c r="AS118" s="285">
        <f t="shared" si="125"/>
        <v>4.4802867383512544E-2</v>
      </c>
      <c r="AT118" s="285">
        <f t="shared" si="125"/>
        <v>4.4802867383512544E-2</v>
      </c>
      <c r="AU118" s="285">
        <f t="shared" si="125"/>
        <v>4.4802867383512544E-2</v>
      </c>
      <c r="AV118" s="285">
        <f t="shared" si="125"/>
        <v>4.4802867383512544E-2</v>
      </c>
      <c r="AW118" s="285">
        <f t="shared" si="125"/>
        <v>4.4802867383512544E-2</v>
      </c>
      <c r="AX118" s="285">
        <f t="shared" si="125"/>
        <v>4.4802867383512544E-2</v>
      </c>
      <c r="AY118" s="285">
        <f t="shared" si="125"/>
        <v>4.4802867383512544E-2</v>
      </c>
      <c r="AZ118" s="285">
        <f t="shared" si="125"/>
        <v>4.4802867383512544E-2</v>
      </c>
      <c r="BA118" s="285">
        <f t="shared" si="125"/>
        <v>4.4802867383512544E-2</v>
      </c>
      <c r="BB118" s="285">
        <f t="shared" si="125"/>
        <v>4.4802867383512544E-2</v>
      </c>
      <c r="BC118" s="285">
        <f t="shared" si="125"/>
        <v>4.4802867383512544E-2</v>
      </c>
      <c r="BD118" s="285">
        <f t="shared" si="125"/>
        <v>4.4802867383512544E-2</v>
      </c>
      <c r="BE118" s="285">
        <f t="shared" si="125"/>
        <v>4.4802867383512544E-2</v>
      </c>
      <c r="BF118" s="285">
        <f t="shared" si="125"/>
        <v>4.4802867383512544E-2</v>
      </c>
      <c r="BG118" s="285">
        <f t="shared" si="125"/>
        <v>4.4802867383512544E-2</v>
      </c>
      <c r="BH118" s="285">
        <f t="shared" si="125"/>
        <v>4.4802867383512544E-2</v>
      </c>
      <c r="BI118" s="285">
        <f t="shared" si="125"/>
        <v>4.4802867383512544E-2</v>
      </c>
      <c r="BJ118" s="285">
        <f t="shared" si="125"/>
        <v>4.4802867383512544E-2</v>
      </c>
      <c r="BK118" s="285">
        <f t="shared" si="125"/>
        <v>4.4802867383512544E-2</v>
      </c>
      <c r="BL118" s="285">
        <f t="shared" si="125"/>
        <v>4.4802867383512544E-2</v>
      </c>
      <c r="BM118" s="285">
        <f t="shared" si="125"/>
        <v>4.4802867383512544E-2</v>
      </c>
      <c r="BN118" s="285">
        <f t="shared" si="125"/>
        <v>4.4802867383512544E-2</v>
      </c>
      <c r="BO118" s="285">
        <f t="shared" si="125"/>
        <v>4.4802867383512544E-2</v>
      </c>
      <c r="BP118" s="285">
        <f t="shared" si="125"/>
        <v>4.4802867383512544E-2</v>
      </c>
      <c r="BQ118" s="285">
        <f t="shared" si="125"/>
        <v>4.4802867383512544E-2</v>
      </c>
      <c r="BR118" s="285">
        <f t="shared" si="125"/>
        <v>4.4802867383512544E-2</v>
      </c>
      <c r="BS118" s="285">
        <f t="shared" si="125"/>
        <v>4.4802867383512544E-2</v>
      </c>
      <c r="BT118" s="285">
        <f t="shared" si="125"/>
        <v>4.4802867383512544E-2</v>
      </c>
      <c r="BU118" s="285">
        <f t="shared" si="125"/>
        <v>4.4802867383512544E-2</v>
      </c>
      <c r="BV118" s="285">
        <f t="shared" si="125"/>
        <v>4.4802867383512544E-2</v>
      </c>
      <c r="BW118" s="285">
        <f t="shared" si="125"/>
        <v>4.4802867383512544E-2</v>
      </c>
      <c r="BX118" s="285">
        <f t="shared" si="125"/>
        <v>4.4802867383512544E-2</v>
      </c>
      <c r="BY118" s="285">
        <f t="shared" si="125"/>
        <v>4.4802867383512544E-2</v>
      </c>
      <c r="BZ118" s="285">
        <f t="shared" si="125"/>
        <v>4.4802867383512544E-2</v>
      </c>
      <c r="CA118" s="285">
        <f t="shared" si="125"/>
        <v>4.4802867383512544E-2</v>
      </c>
      <c r="CB118" s="285">
        <f t="shared" si="125"/>
        <v>4.4802867383512544E-2</v>
      </c>
      <c r="CC118" s="285">
        <f t="shared" ref="CC118:DU118" si="126">$C$118/$E$118/12</f>
        <v>4.4802867383512544E-2</v>
      </c>
      <c r="CD118" s="285">
        <f t="shared" si="126"/>
        <v>4.4802867383512544E-2</v>
      </c>
      <c r="CE118" s="285">
        <f t="shared" si="126"/>
        <v>4.4802867383512544E-2</v>
      </c>
      <c r="CF118" s="285">
        <f t="shared" si="126"/>
        <v>4.4802867383512544E-2</v>
      </c>
      <c r="CG118" s="285">
        <f t="shared" si="126"/>
        <v>4.4802867383512544E-2</v>
      </c>
      <c r="CH118" s="285">
        <f t="shared" si="126"/>
        <v>4.4802867383512544E-2</v>
      </c>
      <c r="CI118" s="285">
        <f t="shared" si="126"/>
        <v>4.4802867383512544E-2</v>
      </c>
      <c r="CJ118" s="285">
        <f t="shared" si="126"/>
        <v>4.4802867383512544E-2</v>
      </c>
      <c r="CK118" s="285">
        <f t="shared" si="126"/>
        <v>4.4802867383512544E-2</v>
      </c>
      <c r="CL118" s="285">
        <f t="shared" si="126"/>
        <v>4.4802867383512544E-2</v>
      </c>
      <c r="CM118" s="285">
        <f t="shared" si="126"/>
        <v>4.4802867383512544E-2</v>
      </c>
      <c r="CN118" s="285">
        <f t="shared" si="126"/>
        <v>4.4802867383512544E-2</v>
      </c>
      <c r="CO118" s="285">
        <f t="shared" si="126"/>
        <v>4.4802867383512544E-2</v>
      </c>
      <c r="CP118" s="285">
        <f t="shared" si="126"/>
        <v>4.4802867383512544E-2</v>
      </c>
      <c r="CQ118" s="285">
        <f t="shared" si="126"/>
        <v>4.4802867383512544E-2</v>
      </c>
      <c r="CR118" s="285">
        <f t="shared" si="126"/>
        <v>4.4802867383512544E-2</v>
      </c>
      <c r="CS118" s="285">
        <f t="shared" si="126"/>
        <v>4.4802867383512544E-2</v>
      </c>
      <c r="CT118" s="285">
        <f t="shared" si="126"/>
        <v>4.4802867383512544E-2</v>
      </c>
      <c r="CU118" s="285">
        <f t="shared" si="126"/>
        <v>4.4802867383512544E-2</v>
      </c>
      <c r="CV118" s="285">
        <f t="shared" si="126"/>
        <v>4.4802867383512544E-2</v>
      </c>
      <c r="CW118" s="285">
        <f t="shared" si="126"/>
        <v>4.4802867383512544E-2</v>
      </c>
      <c r="CX118" s="285">
        <f t="shared" si="126"/>
        <v>4.4802867383512544E-2</v>
      </c>
      <c r="CY118" s="285">
        <f t="shared" si="126"/>
        <v>4.4802867383512544E-2</v>
      </c>
      <c r="CZ118" s="285">
        <f t="shared" si="126"/>
        <v>4.4802867383512544E-2</v>
      </c>
      <c r="DA118" s="285">
        <f t="shared" si="126"/>
        <v>4.4802867383512544E-2</v>
      </c>
      <c r="DB118" s="285">
        <f t="shared" si="126"/>
        <v>4.4802867383512544E-2</v>
      </c>
      <c r="DC118" s="285">
        <f t="shared" si="126"/>
        <v>4.4802867383512544E-2</v>
      </c>
      <c r="DD118" s="285">
        <f t="shared" si="126"/>
        <v>4.4802867383512544E-2</v>
      </c>
      <c r="DE118" s="285">
        <f t="shared" si="126"/>
        <v>4.4802867383512544E-2</v>
      </c>
      <c r="DF118" s="285">
        <f t="shared" si="126"/>
        <v>4.4802867383512544E-2</v>
      </c>
      <c r="DG118" s="285">
        <f t="shared" si="126"/>
        <v>4.4802867383512544E-2</v>
      </c>
      <c r="DH118" s="285">
        <f t="shared" si="126"/>
        <v>4.4802867383512544E-2</v>
      </c>
      <c r="DI118" s="285">
        <f t="shared" si="126"/>
        <v>4.4802867383512544E-2</v>
      </c>
      <c r="DJ118" s="285">
        <f t="shared" si="126"/>
        <v>4.4802867383512544E-2</v>
      </c>
      <c r="DK118" s="285">
        <f t="shared" si="126"/>
        <v>4.4802867383512544E-2</v>
      </c>
      <c r="DL118" s="285">
        <f t="shared" si="126"/>
        <v>4.4802867383512544E-2</v>
      </c>
      <c r="DM118" s="285">
        <f t="shared" si="126"/>
        <v>4.4802867383512544E-2</v>
      </c>
      <c r="DN118" s="285">
        <f t="shared" si="126"/>
        <v>4.4802867383512544E-2</v>
      </c>
      <c r="DO118" s="285">
        <f t="shared" si="126"/>
        <v>4.4802867383512544E-2</v>
      </c>
      <c r="DP118" s="285">
        <f t="shared" si="126"/>
        <v>4.4802867383512544E-2</v>
      </c>
      <c r="DQ118" s="285">
        <f t="shared" si="126"/>
        <v>4.4802867383512544E-2</v>
      </c>
      <c r="DR118" s="285">
        <f t="shared" si="126"/>
        <v>4.4802867383512544E-2</v>
      </c>
      <c r="DS118" s="285">
        <f t="shared" si="126"/>
        <v>4.4802867383512544E-2</v>
      </c>
      <c r="DT118" s="285">
        <f t="shared" si="126"/>
        <v>4.4802867383512544E-2</v>
      </c>
      <c r="DU118" s="285">
        <f t="shared" si="126"/>
        <v>4.4802867383512544E-2</v>
      </c>
    </row>
    <row r="119" spans="1:125">
      <c r="A119" s="55"/>
      <c r="B119" s="277" t="str">
        <f>B69</f>
        <v xml:space="preserve">Грузовые а/м </v>
      </c>
      <c r="C119" s="370">
        <f>E69-E69*Исх.данные!$B$21</f>
        <v>10000</v>
      </c>
      <c r="D119" s="383"/>
      <c r="E119" s="305">
        <v>10</v>
      </c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>
        <f>$C$119/$E$119/12</f>
        <v>83.333333333333329</v>
      </c>
      <c r="Q119" s="285">
        <f t="shared" ref="Q119:CA119" si="127">$C$119/$E$119/12</f>
        <v>83.333333333333329</v>
      </c>
      <c r="R119" s="285">
        <f t="shared" si="127"/>
        <v>83.333333333333329</v>
      </c>
      <c r="S119" s="285">
        <f t="shared" si="127"/>
        <v>83.333333333333329</v>
      </c>
      <c r="T119" s="285">
        <f t="shared" si="127"/>
        <v>83.333333333333329</v>
      </c>
      <c r="U119" s="285">
        <f t="shared" si="127"/>
        <v>83.333333333333329</v>
      </c>
      <c r="V119" s="285">
        <f t="shared" si="127"/>
        <v>83.333333333333329</v>
      </c>
      <c r="W119" s="285">
        <f t="shared" si="127"/>
        <v>83.333333333333329</v>
      </c>
      <c r="X119" s="285">
        <f t="shared" si="127"/>
        <v>83.333333333333329</v>
      </c>
      <c r="Y119" s="285">
        <f t="shared" si="127"/>
        <v>83.333333333333329</v>
      </c>
      <c r="Z119" s="285">
        <f t="shared" si="127"/>
        <v>83.333333333333329</v>
      </c>
      <c r="AA119" s="285">
        <f t="shared" si="127"/>
        <v>83.333333333333329</v>
      </c>
      <c r="AB119" s="285">
        <f t="shared" si="127"/>
        <v>83.333333333333329</v>
      </c>
      <c r="AC119" s="285">
        <f t="shared" si="127"/>
        <v>83.333333333333329</v>
      </c>
      <c r="AD119" s="285">
        <f t="shared" si="127"/>
        <v>83.333333333333329</v>
      </c>
      <c r="AE119" s="285">
        <f t="shared" si="127"/>
        <v>83.333333333333329</v>
      </c>
      <c r="AF119" s="285">
        <f t="shared" si="127"/>
        <v>83.333333333333329</v>
      </c>
      <c r="AG119" s="285">
        <f t="shared" si="127"/>
        <v>83.333333333333329</v>
      </c>
      <c r="AH119" s="285">
        <f t="shared" si="127"/>
        <v>83.333333333333329</v>
      </c>
      <c r="AI119" s="285">
        <f t="shared" si="127"/>
        <v>83.333333333333329</v>
      </c>
      <c r="AJ119" s="285">
        <f t="shared" si="127"/>
        <v>83.333333333333329</v>
      </c>
      <c r="AK119" s="285">
        <f t="shared" si="127"/>
        <v>83.333333333333329</v>
      </c>
      <c r="AL119" s="285">
        <f t="shared" si="127"/>
        <v>83.333333333333329</v>
      </c>
      <c r="AM119" s="285">
        <f t="shared" si="127"/>
        <v>83.333333333333329</v>
      </c>
      <c r="AN119" s="285">
        <f t="shared" si="127"/>
        <v>83.333333333333329</v>
      </c>
      <c r="AO119" s="285">
        <f t="shared" si="127"/>
        <v>83.333333333333329</v>
      </c>
      <c r="AP119" s="285">
        <f t="shared" si="127"/>
        <v>83.333333333333329</v>
      </c>
      <c r="AQ119" s="285">
        <f t="shared" si="127"/>
        <v>83.333333333333329</v>
      </c>
      <c r="AR119" s="285">
        <f t="shared" si="127"/>
        <v>83.333333333333329</v>
      </c>
      <c r="AS119" s="285">
        <f t="shared" si="127"/>
        <v>83.333333333333329</v>
      </c>
      <c r="AT119" s="285">
        <f t="shared" si="127"/>
        <v>83.333333333333329</v>
      </c>
      <c r="AU119" s="285">
        <f t="shared" si="127"/>
        <v>83.333333333333329</v>
      </c>
      <c r="AV119" s="285">
        <f t="shared" si="127"/>
        <v>83.333333333333329</v>
      </c>
      <c r="AW119" s="285">
        <f t="shared" si="127"/>
        <v>83.333333333333329</v>
      </c>
      <c r="AX119" s="285">
        <f t="shared" si="127"/>
        <v>83.333333333333329</v>
      </c>
      <c r="AY119" s="285">
        <f t="shared" si="127"/>
        <v>83.333333333333329</v>
      </c>
      <c r="AZ119" s="285">
        <f t="shared" si="127"/>
        <v>83.333333333333329</v>
      </c>
      <c r="BA119" s="285">
        <f t="shared" si="127"/>
        <v>83.333333333333329</v>
      </c>
      <c r="BB119" s="285">
        <f t="shared" si="127"/>
        <v>83.333333333333329</v>
      </c>
      <c r="BC119" s="285">
        <f t="shared" si="127"/>
        <v>83.333333333333329</v>
      </c>
      <c r="BD119" s="285">
        <f t="shared" si="127"/>
        <v>83.333333333333329</v>
      </c>
      <c r="BE119" s="285">
        <f t="shared" si="127"/>
        <v>83.333333333333329</v>
      </c>
      <c r="BF119" s="285">
        <f t="shared" si="127"/>
        <v>83.333333333333329</v>
      </c>
      <c r="BG119" s="285">
        <f t="shared" si="127"/>
        <v>83.333333333333329</v>
      </c>
      <c r="BH119" s="285">
        <f t="shared" si="127"/>
        <v>83.333333333333329</v>
      </c>
      <c r="BI119" s="285">
        <f t="shared" si="127"/>
        <v>83.333333333333329</v>
      </c>
      <c r="BJ119" s="285">
        <f t="shared" si="127"/>
        <v>83.333333333333329</v>
      </c>
      <c r="BK119" s="285">
        <f t="shared" si="127"/>
        <v>83.333333333333329</v>
      </c>
      <c r="BL119" s="285">
        <f t="shared" si="127"/>
        <v>83.333333333333329</v>
      </c>
      <c r="BM119" s="285">
        <f t="shared" si="127"/>
        <v>83.333333333333329</v>
      </c>
      <c r="BN119" s="285">
        <f t="shared" si="127"/>
        <v>83.333333333333329</v>
      </c>
      <c r="BO119" s="285">
        <f t="shared" si="127"/>
        <v>83.333333333333329</v>
      </c>
      <c r="BP119" s="285">
        <f t="shared" si="127"/>
        <v>83.333333333333329</v>
      </c>
      <c r="BQ119" s="285">
        <f t="shared" si="127"/>
        <v>83.333333333333329</v>
      </c>
      <c r="BR119" s="285">
        <f t="shared" si="127"/>
        <v>83.333333333333329</v>
      </c>
      <c r="BS119" s="285">
        <f t="shared" si="127"/>
        <v>83.333333333333329</v>
      </c>
      <c r="BT119" s="285">
        <f t="shared" si="127"/>
        <v>83.333333333333329</v>
      </c>
      <c r="BU119" s="285">
        <f t="shared" si="127"/>
        <v>83.333333333333329</v>
      </c>
      <c r="BV119" s="285">
        <f t="shared" si="127"/>
        <v>83.333333333333329</v>
      </c>
      <c r="BW119" s="285">
        <f t="shared" si="127"/>
        <v>83.333333333333329</v>
      </c>
      <c r="BX119" s="285">
        <f t="shared" si="127"/>
        <v>83.333333333333329</v>
      </c>
      <c r="BY119" s="285">
        <f t="shared" si="127"/>
        <v>83.333333333333329</v>
      </c>
      <c r="BZ119" s="285">
        <f t="shared" si="127"/>
        <v>83.333333333333329</v>
      </c>
      <c r="CA119" s="285">
        <f t="shared" si="127"/>
        <v>83.333333333333329</v>
      </c>
      <c r="CB119" s="285">
        <f t="shared" ref="CB119:DI119" si="128">$C$119/$E$119/12</f>
        <v>83.333333333333329</v>
      </c>
      <c r="CC119" s="285">
        <f t="shared" si="128"/>
        <v>83.333333333333329</v>
      </c>
      <c r="CD119" s="285">
        <f t="shared" si="128"/>
        <v>83.333333333333329</v>
      </c>
      <c r="CE119" s="285">
        <f t="shared" si="128"/>
        <v>83.333333333333329</v>
      </c>
      <c r="CF119" s="285">
        <f t="shared" si="128"/>
        <v>83.333333333333329</v>
      </c>
      <c r="CG119" s="285">
        <f t="shared" si="128"/>
        <v>83.333333333333329</v>
      </c>
      <c r="CH119" s="285">
        <f t="shared" si="128"/>
        <v>83.333333333333329</v>
      </c>
      <c r="CI119" s="285">
        <f t="shared" si="128"/>
        <v>83.333333333333329</v>
      </c>
      <c r="CJ119" s="285">
        <f t="shared" si="128"/>
        <v>83.333333333333329</v>
      </c>
      <c r="CK119" s="285">
        <f t="shared" si="128"/>
        <v>83.333333333333329</v>
      </c>
      <c r="CL119" s="285">
        <f t="shared" si="128"/>
        <v>83.333333333333329</v>
      </c>
      <c r="CM119" s="285">
        <f t="shared" si="128"/>
        <v>83.333333333333329</v>
      </c>
      <c r="CN119" s="285">
        <f t="shared" si="128"/>
        <v>83.333333333333329</v>
      </c>
      <c r="CO119" s="285">
        <f t="shared" si="128"/>
        <v>83.333333333333329</v>
      </c>
      <c r="CP119" s="285">
        <f t="shared" si="128"/>
        <v>83.333333333333329</v>
      </c>
      <c r="CQ119" s="285">
        <f t="shared" si="128"/>
        <v>83.333333333333329</v>
      </c>
      <c r="CR119" s="285">
        <f t="shared" si="128"/>
        <v>83.333333333333329</v>
      </c>
      <c r="CS119" s="285">
        <f t="shared" si="128"/>
        <v>83.333333333333329</v>
      </c>
      <c r="CT119" s="285">
        <f t="shared" si="128"/>
        <v>83.333333333333329</v>
      </c>
      <c r="CU119" s="285">
        <f t="shared" si="128"/>
        <v>83.333333333333329</v>
      </c>
      <c r="CV119" s="285">
        <f t="shared" si="128"/>
        <v>83.333333333333329</v>
      </c>
      <c r="CW119" s="285">
        <f t="shared" si="128"/>
        <v>83.333333333333329</v>
      </c>
      <c r="CX119" s="285">
        <f t="shared" si="128"/>
        <v>83.333333333333329</v>
      </c>
      <c r="CY119" s="285">
        <f t="shared" si="128"/>
        <v>83.333333333333329</v>
      </c>
      <c r="CZ119" s="285">
        <f t="shared" si="128"/>
        <v>83.333333333333329</v>
      </c>
      <c r="DA119" s="285">
        <f t="shared" si="128"/>
        <v>83.333333333333329</v>
      </c>
      <c r="DB119" s="285">
        <f t="shared" si="128"/>
        <v>83.333333333333329</v>
      </c>
      <c r="DC119" s="285">
        <f t="shared" si="128"/>
        <v>83.333333333333329</v>
      </c>
      <c r="DD119" s="285">
        <f t="shared" si="128"/>
        <v>83.333333333333329</v>
      </c>
      <c r="DE119" s="285">
        <f t="shared" si="128"/>
        <v>83.333333333333329</v>
      </c>
      <c r="DF119" s="285">
        <f t="shared" si="128"/>
        <v>83.333333333333329</v>
      </c>
      <c r="DG119" s="285">
        <f t="shared" si="128"/>
        <v>83.333333333333329</v>
      </c>
      <c r="DH119" s="285">
        <f t="shared" si="128"/>
        <v>83.333333333333329</v>
      </c>
      <c r="DI119" s="285">
        <f t="shared" si="128"/>
        <v>83.333333333333329</v>
      </c>
      <c r="DJ119" s="285">
        <f t="shared" ref="DJ119:DU119" si="129">$C$119/$E$119/12</f>
        <v>83.333333333333329</v>
      </c>
      <c r="DK119" s="285">
        <f t="shared" si="129"/>
        <v>83.333333333333329</v>
      </c>
      <c r="DL119" s="285">
        <f t="shared" si="129"/>
        <v>83.333333333333329</v>
      </c>
      <c r="DM119" s="285">
        <f t="shared" si="129"/>
        <v>83.333333333333329</v>
      </c>
      <c r="DN119" s="285">
        <f t="shared" si="129"/>
        <v>83.333333333333329</v>
      </c>
      <c r="DO119" s="285">
        <f t="shared" si="129"/>
        <v>83.333333333333329</v>
      </c>
      <c r="DP119" s="285">
        <f t="shared" si="129"/>
        <v>83.333333333333329</v>
      </c>
      <c r="DQ119" s="285">
        <f t="shared" si="129"/>
        <v>83.333333333333329</v>
      </c>
      <c r="DR119" s="285">
        <f t="shared" si="129"/>
        <v>83.333333333333329</v>
      </c>
      <c r="DS119" s="285">
        <f t="shared" si="129"/>
        <v>83.333333333333329</v>
      </c>
      <c r="DT119" s="285">
        <f t="shared" si="129"/>
        <v>83.333333333333329</v>
      </c>
      <c r="DU119" s="285">
        <f t="shared" si="129"/>
        <v>83.333333333333329</v>
      </c>
    </row>
    <row r="120" spans="1:125">
      <c r="A120" s="55"/>
      <c r="B120" s="277" t="str">
        <f t="shared" ref="B120:B122" si="130">B70</f>
        <v>Складская техника (погрузчики)</v>
      </c>
      <c r="C120" s="370">
        <f>E70-E70*Исх.данные!$B$21</f>
        <v>10000</v>
      </c>
      <c r="D120" s="383"/>
      <c r="E120" s="305">
        <v>10</v>
      </c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>
        <f>$C$120/$E$120/12</f>
        <v>83.333333333333329</v>
      </c>
      <c r="Q120" s="285">
        <f>$C$120/$E$120/12</f>
        <v>83.333333333333329</v>
      </c>
      <c r="R120" s="285">
        <f t="shared" ref="R120:CA120" si="131">$C$120/$E$120/12</f>
        <v>83.333333333333329</v>
      </c>
      <c r="S120" s="285">
        <f t="shared" si="131"/>
        <v>83.333333333333329</v>
      </c>
      <c r="T120" s="285">
        <f t="shared" si="131"/>
        <v>83.333333333333329</v>
      </c>
      <c r="U120" s="285">
        <f t="shared" si="131"/>
        <v>83.333333333333329</v>
      </c>
      <c r="V120" s="285">
        <f t="shared" si="131"/>
        <v>83.333333333333329</v>
      </c>
      <c r="W120" s="285">
        <f t="shared" si="131"/>
        <v>83.333333333333329</v>
      </c>
      <c r="X120" s="285">
        <f t="shared" si="131"/>
        <v>83.333333333333329</v>
      </c>
      <c r="Y120" s="285">
        <f t="shared" si="131"/>
        <v>83.333333333333329</v>
      </c>
      <c r="Z120" s="285">
        <f t="shared" si="131"/>
        <v>83.333333333333329</v>
      </c>
      <c r="AA120" s="285">
        <f t="shared" si="131"/>
        <v>83.333333333333329</v>
      </c>
      <c r="AB120" s="285">
        <f t="shared" si="131"/>
        <v>83.333333333333329</v>
      </c>
      <c r="AC120" s="285">
        <f t="shared" si="131"/>
        <v>83.333333333333329</v>
      </c>
      <c r="AD120" s="285">
        <f t="shared" si="131"/>
        <v>83.333333333333329</v>
      </c>
      <c r="AE120" s="285">
        <f t="shared" si="131"/>
        <v>83.333333333333329</v>
      </c>
      <c r="AF120" s="285">
        <f t="shared" si="131"/>
        <v>83.333333333333329</v>
      </c>
      <c r="AG120" s="285">
        <f t="shared" si="131"/>
        <v>83.333333333333329</v>
      </c>
      <c r="AH120" s="285">
        <f t="shared" si="131"/>
        <v>83.333333333333329</v>
      </c>
      <c r="AI120" s="285">
        <f t="shared" si="131"/>
        <v>83.333333333333329</v>
      </c>
      <c r="AJ120" s="285">
        <f t="shared" si="131"/>
        <v>83.333333333333329</v>
      </c>
      <c r="AK120" s="285">
        <f t="shared" si="131"/>
        <v>83.333333333333329</v>
      </c>
      <c r="AL120" s="285">
        <f t="shared" si="131"/>
        <v>83.333333333333329</v>
      </c>
      <c r="AM120" s="285">
        <f t="shared" si="131"/>
        <v>83.333333333333329</v>
      </c>
      <c r="AN120" s="285">
        <f t="shared" si="131"/>
        <v>83.333333333333329</v>
      </c>
      <c r="AO120" s="285">
        <f t="shared" si="131"/>
        <v>83.333333333333329</v>
      </c>
      <c r="AP120" s="285">
        <f t="shared" si="131"/>
        <v>83.333333333333329</v>
      </c>
      <c r="AQ120" s="285">
        <f t="shared" si="131"/>
        <v>83.333333333333329</v>
      </c>
      <c r="AR120" s="285">
        <f t="shared" si="131"/>
        <v>83.333333333333329</v>
      </c>
      <c r="AS120" s="285">
        <f t="shared" si="131"/>
        <v>83.333333333333329</v>
      </c>
      <c r="AT120" s="285">
        <f t="shared" si="131"/>
        <v>83.333333333333329</v>
      </c>
      <c r="AU120" s="285">
        <f t="shared" si="131"/>
        <v>83.333333333333329</v>
      </c>
      <c r="AV120" s="285">
        <f t="shared" si="131"/>
        <v>83.333333333333329</v>
      </c>
      <c r="AW120" s="285">
        <f t="shared" si="131"/>
        <v>83.333333333333329</v>
      </c>
      <c r="AX120" s="285">
        <f t="shared" si="131"/>
        <v>83.333333333333329</v>
      </c>
      <c r="AY120" s="285">
        <f t="shared" si="131"/>
        <v>83.333333333333329</v>
      </c>
      <c r="AZ120" s="285">
        <f t="shared" si="131"/>
        <v>83.333333333333329</v>
      </c>
      <c r="BA120" s="285">
        <f t="shared" si="131"/>
        <v>83.333333333333329</v>
      </c>
      <c r="BB120" s="285">
        <f t="shared" si="131"/>
        <v>83.333333333333329</v>
      </c>
      <c r="BC120" s="285">
        <f t="shared" si="131"/>
        <v>83.333333333333329</v>
      </c>
      <c r="BD120" s="285">
        <f t="shared" si="131"/>
        <v>83.333333333333329</v>
      </c>
      <c r="BE120" s="285">
        <f t="shared" si="131"/>
        <v>83.333333333333329</v>
      </c>
      <c r="BF120" s="285">
        <f t="shared" si="131"/>
        <v>83.333333333333329</v>
      </c>
      <c r="BG120" s="285">
        <f t="shared" si="131"/>
        <v>83.333333333333329</v>
      </c>
      <c r="BH120" s="285">
        <f t="shared" si="131"/>
        <v>83.333333333333329</v>
      </c>
      <c r="BI120" s="285">
        <f t="shared" si="131"/>
        <v>83.333333333333329</v>
      </c>
      <c r="BJ120" s="285">
        <f t="shared" si="131"/>
        <v>83.333333333333329</v>
      </c>
      <c r="BK120" s="285">
        <f t="shared" si="131"/>
        <v>83.333333333333329</v>
      </c>
      <c r="BL120" s="285">
        <f t="shared" si="131"/>
        <v>83.333333333333329</v>
      </c>
      <c r="BM120" s="285">
        <f t="shared" si="131"/>
        <v>83.333333333333329</v>
      </c>
      <c r="BN120" s="285">
        <f t="shared" si="131"/>
        <v>83.333333333333329</v>
      </c>
      <c r="BO120" s="285">
        <f t="shared" si="131"/>
        <v>83.333333333333329</v>
      </c>
      <c r="BP120" s="285">
        <f t="shared" si="131"/>
        <v>83.333333333333329</v>
      </c>
      <c r="BQ120" s="285">
        <f t="shared" si="131"/>
        <v>83.333333333333329</v>
      </c>
      <c r="BR120" s="285">
        <f t="shared" si="131"/>
        <v>83.333333333333329</v>
      </c>
      <c r="BS120" s="285">
        <f t="shared" si="131"/>
        <v>83.333333333333329</v>
      </c>
      <c r="BT120" s="285">
        <f t="shared" si="131"/>
        <v>83.333333333333329</v>
      </c>
      <c r="BU120" s="285">
        <f t="shared" si="131"/>
        <v>83.333333333333329</v>
      </c>
      <c r="BV120" s="285">
        <f t="shared" si="131"/>
        <v>83.333333333333329</v>
      </c>
      <c r="BW120" s="285">
        <f t="shared" si="131"/>
        <v>83.333333333333329</v>
      </c>
      <c r="BX120" s="285">
        <f t="shared" si="131"/>
        <v>83.333333333333329</v>
      </c>
      <c r="BY120" s="285">
        <f t="shared" si="131"/>
        <v>83.333333333333329</v>
      </c>
      <c r="BZ120" s="285">
        <f t="shared" si="131"/>
        <v>83.333333333333329</v>
      </c>
      <c r="CA120" s="285">
        <f t="shared" si="131"/>
        <v>83.333333333333329</v>
      </c>
      <c r="CB120" s="285">
        <f t="shared" ref="CB120:DI120" si="132">$C$120/$E$120/12</f>
        <v>83.333333333333329</v>
      </c>
      <c r="CC120" s="285">
        <f t="shared" si="132"/>
        <v>83.333333333333329</v>
      </c>
      <c r="CD120" s="285">
        <f t="shared" si="132"/>
        <v>83.333333333333329</v>
      </c>
      <c r="CE120" s="285">
        <f t="shared" si="132"/>
        <v>83.333333333333329</v>
      </c>
      <c r="CF120" s="285">
        <f t="shared" si="132"/>
        <v>83.333333333333329</v>
      </c>
      <c r="CG120" s="285">
        <f t="shared" si="132"/>
        <v>83.333333333333329</v>
      </c>
      <c r="CH120" s="285">
        <f t="shared" si="132"/>
        <v>83.333333333333329</v>
      </c>
      <c r="CI120" s="285">
        <f t="shared" si="132"/>
        <v>83.333333333333329</v>
      </c>
      <c r="CJ120" s="285">
        <f t="shared" si="132"/>
        <v>83.333333333333329</v>
      </c>
      <c r="CK120" s="285">
        <f t="shared" si="132"/>
        <v>83.333333333333329</v>
      </c>
      <c r="CL120" s="285">
        <f t="shared" si="132"/>
        <v>83.333333333333329</v>
      </c>
      <c r="CM120" s="285">
        <f t="shared" si="132"/>
        <v>83.333333333333329</v>
      </c>
      <c r="CN120" s="285">
        <f t="shared" si="132"/>
        <v>83.333333333333329</v>
      </c>
      <c r="CO120" s="285">
        <f t="shared" si="132"/>
        <v>83.333333333333329</v>
      </c>
      <c r="CP120" s="285">
        <f t="shared" si="132"/>
        <v>83.333333333333329</v>
      </c>
      <c r="CQ120" s="285">
        <f t="shared" si="132"/>
        <v>83.333333333333329</v>
      </c>
      <c r="CR120" s="285">
        <f t="shared" si="132"/>
        <v>83.333333333333329</v>
      </c>
      <c r="CS120" s="285">
        <f t="shared" si="132"/>
        <v>83.333333333333329</v>
      </c>
      <c r="CT120" s="285">
        <f t="shared" si="132"/>
        <v>83.333333333333329</v>
      </c>
      <c r="CU120" s="285">
        <f t="shared" si="132"/>
        <v>83.333333333333329</v>
      </c>
      <c r="CV120" s="285">
        <f t="shared" si="132"/>
        <v>83.333333333333329</v>
      </c>
      <c r="CW120" s="285">
        <f t="shared" si="132"/>
        <v>83.333333333333329</v>
      </c>
      <c r="CX120" s="285">
        <f t="shared" si="132"/>
        <v>83.333333333333329</v>
      </c>
      <c r="CY120" s="285">
        <f t="shared" si="132"/>
        <v>83.333333333333329</v>
      </c>
      <c r="CZ120" s="285">
        <f t="shared" si="132"/>
        <v>83.333333333333329</v>
      </c>
      <c r="DA120" s="285">
        <f t="shared" si="132"/>
        <v>83.333333333333329</v>
      </c>
      <c r="DB120" s="285">
        <f t="shared" si="132"/>
        <v>83.333333333333329</v>
      </c>
      <c r="DC120" s="285">
        <f t="shared" si="132"/>
        <v>83.333333333333329</v>
      </c>
      <c r="DD120" s="285">
        <f t="shared" si="132"/>
        <v>83.333333333333329</v>
      </c>
      <c r="DE120" s="285">
        <f t="shared" si="132"/>
        <v>83.333333333333329</v>
      </c>
      <c r="DF120" s="285">
        <f t="shared" si="132"/>
        <v>83.333333333333329</v>
      </c>
      <c r="DG120" s="285">
        <f t="shared" si="132"/>
        <v>83.333333333333329</v>
      </c>
      <c r="DH120" s="285">
        <f t="shared" si="132"/>
        <v>83.333333333333329</v>
      </c>
      <c r="DI120" s="285">
        <f t="shared" si="132"/>
        <v>83.333333333333329</v>
      </c>
      <c r="DJ120" s="285">
        <f t="shared" ref="DJ120:DU120" si="133">$C$120/$E$120/12</f>
        <v>83.333333333333329</v>
      </c>
      <c r="DK120" s="285">
        <f t="shared" si="133"/>
        <v>83.333333333333329</v>
      </c>
      <c r="DL120" s="285">
        <f t="shared" si="133"/>
        <v>83.333333333333329</v>
      </c>
      <c r="DM120" s="285">
        <f t="shared" si="133"/>
        <v>83.333333333333329</v>
      </c>
      <c r="DN120" s="285">
        <f t="shared" si="133"/>
        <v>83.333333333333329</v>
      </c>
      <c r="DO120" s="285">
        <f t="shared" si="133"/>
        <v>83.333333333333329</v>
      </c>
      <c r="DP120" s="285">
        <f t="shared" si="133"/>
        <v>83.333333333333329</v>
      </c>
      <c r="DQ120" s="285">
        <f t="shared" si="133"/>
        <v>83.333333333333329</v>
      </c>
      <c r="DR120" s="285">
        <f t="shared" si="133"/>
        <v>83.333333333333329</v>
      </c>
      <c r="DS120" s="285">
        <f t="shared" si="133"/>
        <v>83.333333333333329</v>
      </c>
      <c r="DT120" s="285">
        <f t="shared" si="133"/>
        <v>83.333333333333329</v>
      </c>
      <c r="DU120" s="285">
        <f t="shared" si="133"/>
        <v>83.333333333333329</v>
      </c>
    </row>
    <row r="121" spans="1:125">
      <c r="A121" s="55"/>
      <c r="B121" s="277" t="str">
        <f t="shared" si="130"/>
        <v>Офисное оборудование (ПК, телефон, принтер)</v>
      </c>
      <c r="C121" s="370">
        <f>E71-E71*Исх.данные!$B$21</f>
        <v>12500</v>
      </c>
      <c r="D121" s="383"/>
      <c r="E121" s="305">
        <v>10</v>
      </c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>
        <f>$C$121/$E$121/12</f>
        <v>104.16666666666667</v>
      </c>
      <c r="Q121" s="285">
        <f t="shared" ref="Q121:CB121" si="134">$C$121/$E$121/12</f>
        <v>104.16666666666667</v>
      </c>
      <c r="R121" s="285">
        <f t="shared" si="134"/>
        <v>104.16666666666667</v>
      </c>
      <c r="S121" s="285">
        <f t="shared" si="134"/>
        <v>104.16666666666667</v>
      </c>
      <c r="T121" s="285">
        <f t="shared" si="134"/>
        <v>104.16666666666667</v>
      </c>
      <c r="U121" s="285">
        <f t="shared" si="134"/>
        <v>104.16666666666667</v>
      </c>
      <c r="V121" s="285">
        <f t="shared" si="134"/>
        <v>104.16666666666667</v>
      </c>
      <c r="W121" s="285">
        <f t="shared" si="134"/>
        <v>104.16666666666667</v>
      </c>
      <c r="X121" s="285">
        <f t="shared" si="134"/>
        <v>104.16666666666667</v>
      </c>
      <c r="Y121" s="285">
        <f t="shared" si="134"/>
        <v>104.16666666666667</v>
      </c>
      <c r="Z121" s="285">
        <f t="shared" si="134"/>
        <v>104.16666666666667</v>
      </c>
      <c r="AA121" s="285">
        <f t="shared" si="134"/>
        <v>104.16666666666667</v>
      </c>
      <c r="AB121" s="285">
        <f t="shared" si="134"/>
        <v>104.16666666666667</v>
      </c>
      <c r="AC121" s="285">
        <f t="shared" si="134"/>
        <v>104.16666666666667</v>
      </c>
      <c r="AD121" s="285">
        <f t="shared" si="134"/>
        <v>104.16666666666667</v>
      </c>
      <c r="AE121" s="285">
        <f t="shared" si="134"/>
        <v>104.16666666666667</v>
      </c>
      <c r="AF121" s="285">
        <f t="shared" si="134"/>
        <v>104.16666666666667</v>
      </c>
      <c r="AG121" s="285">
        <f t="shared" si="134"/>
        <v>104.16666666666667</v>
      </c>
      <c r="AH121" s="285">
        <f t="shared" si="134"/>
        <v>104.16666666666667</v>
      </c>
      <c r="AI121" s="285">
        <f t="shared" si="134"/>
        <v>104.16666666666667</v>
      </c>
      <c r="AJ121" s="285">
        <f t="shared" si="134"/>
        <v>104.16666666666667</v>
      </c>
      <c r="AK121" s="285">
        <f t="shared" si="134"/>
        <v>104.16666666666667</v>
      </c>
      <c r="AL121" s="285">
        <f t="shared" si="134"/>
        <v>104.16666666666667</v>
      </c>
      <c r="AM121" s="285">
        <f t="shared" si="134"/>
        <v>104.16666666666667</v>
      </c>
      <c r="AN121" s="285">
        <f t="shared" si="134"/>
        <v>104.16666666666667</v>
      </c>
      <c r="AO121" s="285">
        <f t="shared" si="134"/>
        <v>104.16666666666667</v>
      </c>
      <c r="AP121" s="285">
        <f t="shared" si="134"/>
        <v>104.16666666666667</v>
      </c>
      <c r="AQ121" s="285">
        <f t="shared" si="134"/>
        <v>104.16666666666667</v>
      </c>
      <c r="AR121" s="285">
        <f t="shared" si="134"/>
        <v>104.16666666666667</v>
      </c>
      <c r="AS121" s="285">
        <f t="shared" si="134"/>
        <v>104.16666666666667</v>
      </c>
      <c r="AT121" s="285">
        <f t="shared" si="134"/>
        <v>104.16666666666667</v>
      </c>
      <c r="AU121" s="285">
        <f t="shared" si="134"/>
        <v>104.16666666666667</v>
      </c>
      <c r="AV121" s="285">
        <f t="shared" si="134"/>
        <v>104.16666666666667</v>
      </c>
      <c r="AW121" s="285">
        <f t="shared" si="134"/>
        <v>104.16666666666667</v>
      </c>
      <c r="AX121" s="285">
        <f t="shared" si="134"/>
        <v>104.16666666666667</v>
      </c>
      <c r="AY121" s="285">
        <f t="shared" si="134"/>
        <v>104.16666666666667</v>
      </c>
      <c r="AZ121" s="285">
        <f t="shared" si="134"/>
        <v>104.16666666666667</v>
      </c>
      <c r="BA121" s="285">
        <f t="shared" si="134"/>
        <v>104.16666666666667</v>
      </c>
      <c r="BB121" s="285">
        <f t="shared" si="134"/>
        <v>104.16666666666667</v>
      </c>
      <c r="BC121" s="285">
        <f t="shared" si="134"/>
        <v>104.16666666666667</v>
      </c>
      <c r="BD121" s="285">
        <f t="shared" si="134"/>
        <v>104.16666666666667</v>
      </c>
      <c r="BE121" s="285">
        <f t="shared" si="134"/>
        <v>104.16666666666667</v>
      </c>
      <c r="BF121" s="285">
        <f t="shared" si="134"/>
        <v>104.16666666666667</v>
      </c>
      <c r="BG121" s="285">
        <f t="shared" si="134"/>
        <v>104.16666666666667</v>
      </c>
      <c r="BH121" s="285">
        <f t="shared" si="134"/>
        <v>104.16666666666667</v>
      </c>
      <c r="BI121" s="285">
        <f t="shared" si="134"/>
        <v>104.16666666666667</v>
      </c>
      <c r="BJ121" s="285">
        <f t="shared" si="134"/>
        <v>104.16666666666667</v>
      </c>
      <c r="BK121" s="285">
        <f t="shared" si="134"/>
        <v>104.16666666666667</v>
      </c>
      <c r="BL121" s="285">
        <f t="shared" si="134"/>
        <v>104.16666666666667</v>
      </c>
      <c r="BM121" s="285">
        <f t="shared" si="134"/>
        <v>104.16666666666667</v>
      </c>
      <c r="BN121" s="285">
        <f t="shared" si="134"/>
        <v>104.16666666666667</v>
      </c>
      <c r="BO121" s="285">
        <f t="shared" si="134"/>
        <v>104.16666666666667</v>
      </c>
      <c r="BP121" s="285">
        <f t="shared" si="134"/>
        <v>104.16666666666667</v>
      </c>
      <c r="BQ121" s="285">
        <f t="shared" si="134"/>
        <v>104.16666666666667</v>
      </c>
      <c r="BR121" s="285">
        <f t="shared" si="134"/>
        <v>104.16666666666667</v>
      </c>
      <c r="BS121" s="285">
        <f t="shared" si="134"/>
        <v>104.16666666666667</v>
      </c>
      <c r="BT121" s="285">
        <f t="shared" si="134"/>
        <v>104.16666666666667</v>
      </c>
      <c r="BU121" s="285">
        <f t="shared" si="134"/>
        <v>104.16666666666667</v>
      </c>
      <c r="BV121" s="285">
        <f t="shared" si="134"/>
        <v>104.16666666666667</v>
      </c>
      <c r="BW121" s="285">
        <f t="shared" si="134"/>
        <v>104.16666666666667</v>
      </c>
      <c r="BX121" s="285">
        <f t="shared" si="134"/>
        <v>104.16666666666667</v>
      </c>
      <c r="BY121" s="285">
        <f t="shared" si="134"/>
        <v>104.16666666666667</v>
      </c>
      <c r="BZ121" s="285">
        <f t="shared" si="134"/>
        <v>104.16666666666667</v>
      </c>
      <c r="CA121" s="285">
        <f t="shared" si="134"/>
        <v>104.16666666666667</v>
      </c>
      <c r="CB121" s="285">
        <f t="shared" si="134"/>
        <v>104.16666666666667</v>
      </c>
      <c r="CC121" s="285">
        <f t="shared" ref="CC121:DU121" si="135">$C$121/$E$121/12</f>
        <v>104.16666666666667</v>
      </c>
      <c r="CD121" s="285">
        <f t="shared" si="135"/>
        <v>104.16666666666667</v>
      </c>
      <c r="CE121" s="285">
        <f t="shared" si="135"/>
        <v>104.16666666666667</v>
      </c>
      <c r="CF121" s="285">
        <f t="shared" si="135"/>
        <v>104.16666666666667</v>
      </c>
      <c r="CG121" s="285">
        <f t="shared" si="135"/>
        <v>104.16666666666667</v>
      </c>
      <c r="CH121" s="285">
        <f t="shared" si="135"/>
        <v>104.16666666666667</v>
      </c>
      <c r="CI121" s="285">
        <f t="shared" si="135"/>
        <v>104.16666666666667</v>
      </c>
      <c r="CJ121" s="285">
        <f t="shared" si="135"/>
        <v>104.16666666666667</v>
      </c>
      <c r="CK121" s="285">
        <f t="shared" si="135"/>
        <v>104.16666666666667</v>
      </c>
      <c r="CL121" s="285">
        <f t="shared" si="135"/>
        <v>104.16666666666667</v>
      </c>
      <c r="CM121" s="285">
        <f t="shared" si="135"/>
        <v>104.16666666666667</v>
      </c>
      <c r="CN121" s="285">
        <f t="shared" si="135"/>
        <v>104.16666666666667</v>
      </c>
      <c r="CO121" s="285">
        <f t="shared" si="135"/>
        <v>104.16666666666667</v>
      </c>
      <c r="CP121" s="285">
        <f t="shared" si="135"/>
        <v>104.16666666666667</v>
      </c>
      <c r="CQ121" s="285">
        <f t="shared" si="135"/>
        <v>104.16666666666667</v>
      </c>
      <c r="CR121" s="285">
        <f t="shared" si="135"/>
        <v>104.16666666666667</v>
      </c>
      <c r="CS121" s="285">
        <f t="shared" si="135"/>
        <v>104.16666666666667</v>
      </c>
      <c r="CT121" s="285">
        <f t="shared" si="135"/>
        <v>104.16666666666667</v>
      </c>
      <c r="CU121" s="285">
        <f t="shared" si="135"/>
        <v>104.16666666666667</v>
      </c>
      <c r="CV121" s="285">
        <f t="shared" si="135"/>
        <v>104.16666666666667</v>
      </c>
      <c r="CW121" s="285">
        <f t="shared" si="135"/>
        <v>104.16666666666667</v>
      </c>
      <c r="CX121" s="285">
        <f t="shared" si="135"/>
        <v>104.16666666666667</v>
      </c>
      <c r="CY121" s="285">
        <f t="shared" si="135"/>
        <v>104.16666666666667</v>
      </c>
      <c r="CZ121" s="285">
        <f t="shared" si="135"/>
        <v>104.16666666666667</v>
      </c>
      <c r="DA121" s="285">
        <f t="shared" si="135"/>
        <v>104.16666666666667</v>
      </c>
      <c r="DB121" s="285">
        <f t="shared" si="135"/>
        <v>104.16666666666667</v>
      </c>
      <c r="DC121" s="285">
        <f t="shared" si="135"/>
        <v>104.16666666666667</v>
      </c>
      <c r="DD121" s="285">
        <f t="shared" si="135"/>
        <v>104.16666666666667</v>
      </c>
      <c r="DE121" s="285">
        <f t="shared" si="135"/>
        <v>104.16666666666667</v>
      </c>
      <c r="DF121" s="285">
        <f t="shared" si="135"/>
        <v>104.16666666666667</v>
      </c>
      <c r="DG121" s="285">
        <f t="shared" si="135"/>
        <v>104.16666666666667</v>
      </c>
      <c r="DH121" s="285">
        <f t="shared" si="135"/>
        <v>104.16666666666667</v>
      </c>
      <c r="DI121" s="285">
        <f t="shared" si="135"/>
        <v>104.16666666666667</v>
      </c>
      <c r="DJ121" s="285">
        <f t="shared" si="135"/>
        <v>104.16666666666667</v>
      </c>
      <c r="DK121" s="285">
        <f t="shared" si="135"/>
        <v>104.16666666666667</v>
      </c>
      <c r="DL121" s="285">
        <f t="shared" si="135"/>
        <v>104.16666666666667</v>
      </c>
      <c r="DM121" s="285">
        <f t="shared" si="135"/>
        <v>104.16666666666667</v>
      </c>
      <c r="DN121" s="285">
        <f t="shared" si="135"/>
        <v>104.16666666666667</v>
      </c>
      <c r="DO121" s="285">
        <f t="shared" si="135"/>
        <v>104.16666666666667</v>
      </c>
      <c r="DP121" s="285">
        <f t="shared" si="135"/>
        <v>104.16666666666667</v>
      </c>
      <c r="DQ121" s="285">
        <f t="shared" si="135"/>
        <v>104.16666666666667</v>
      </c>
      <c r="DR121" s="285">
        <f t="shared" si="135"/>
        <v>104.16666666666667</v>
      </c>
      <c r="DS121" s="285">
        <f t="shared" si="135"/>
        <v>104.16666666666667</v>
      </c>
      <c r="DT121" s="285">
        <f t="shared" si="135"/>
        <v>104.16666666666667</v>
      </c>
      <c r="DU121" s="285">
        <f t="shared" si="135"/>
        <v>104.16666666666667</v>
      </c>
    </row>
    <row r="122" spans="1:125">
      <c r="A122" s="55"/>
      <c r="B122" s="277" t="str">
        <f t="shared" si="130"/>
        <v>Складское оборудование (стеллажи, подъемные механизмы и т.д)</v>
      </c>
      <c r="C122" s="370">
        <f>E72-E72*Исх.данные!$B$21</f>
        <v>8333.3333333333339</v>
      </c>
      <c r="D122" s="383"/>
      <c r="E122" s="305">
        <v>10</v>
      </c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>
        <f>$C$122/$E$122/12</f>
        <v>69.444444444444443</v>
      </c>
      <c r="Q122" s="285">
        <f t="shared" ref="Q122:CB122" si="136">$C$122/$E$122/12</f>
        <v>69.444444444444443</v>
      </c>
      <c r="R122" s="285">
        <f t="shared" si="136"/>
        <v>69.444444444444443</v>
      </c>
      <c r="S122" s="285">
        <f t="shared" si="136"/>
        <v>69.444444444444443</v>
      </c>
      <c r="T122" s="285">
        <f t="shared" si="136"/>
        <v>69.444444444444443</v>
      </c>
      <c r="U122" s="285">
        <f t="shared" si="136"/>
        <v>69.444444444444443</v>
      </c>
      <c r="V122" s="285">
        <f t="shared" si="136"/>
        <v>69.444444444444443</v>
      </c>
      <c r="W122" s="285">
        <f t="shared" si="136"/>
        <v>69.444444444444443</v>
      </c>
      <c r="X122" s="285">
        <f t="shared" si="136"/>
        <v>69.444444444444443</v>
      </c>
      <c r="Y122" s="285">
        <f t="shared" si="136"/>
        <v>69.444444444444443</v>
      </c>
      <c r="Z122" s="285">
        <f t="shared" si="136"/>
        <v>69.444444444444443</v>
      </c>
      <c r="AA122" s="285">
        <f t="shared" si="136"/>
        <v>69.444444444444443</v>
      </c>
      <c r="AB122" s="285">
        <f t="shared" si="136"/>
        <v>69.444444444444443</v>
      </c>
      <c r="AC122" s="285">
        <f t="shared" si="136"/>
        <v>69.444444444444443</v>
      </c>
      <c r="AD122" s="285">
        <f t="shared" si="136"/>
        <v>69.444444444444443</v>
      </c>
      <c r="AE122" s="285">
        <f t="shared" si="136"/>
        <v>69.444444444444443</v>
      </c>
      <c r="AF122" s="285">
        <f t="shared" si="136"/>
        <v>69.444444444444443</v>
      </c>
      <c r="AG122" s="285">
        <f t="shared" si="136"/>
        <v>69.444444444444443</v>
      </c>
      <c r="AH122" s="285">
        <f t="shared" si="136"/>
        <v>69.444444444444443</v>
      </c>
      <c r="AI122" s="285">
        <f t="shared" si="136"/>
        <v>69.444444444444443</v>
      </c>
      <c r="AJ122" s="285">
        <f t="shared" si="136"/>
        <v>69.444444444444443</v>
      </c>
      <c r="AK122" s="285">
        <f t="shared" si="136"/>
        <v>69.444444444444443</v>
      </c>
      <c r="AL122" s="285">
        <f t="shared" si="136"/>
        <v>69.444444444444443</v>
      </c>
      <c r="AM122" s="285">
        <f t="shared" si="136"/>
        <v>69.444444444444443</v>
      </c>
      <c r="AN122" s="285">
        <f t="shared" si="136"/>
        <v>69.444444444444443</v>
      </c>
      <c r="AO122" s="285">
        <f t="shared" si="136"/>
        <v>69.444444444444443</v>
      </c>
      <c r="AP122" s="285">
        <f t="shared" si="136"/>
        <v>69.444444444444443</v>
      </c>
      <c r="AQ122" s="285">
        <f t="shared" si="136"/>
        <v>69.444444444444443</v>
      </c>
      <c r="AR122" s="285">
        <f t="shared" si="136"/>
        <v>69.444444444444443</v>
      </c>
      <c r="AS122" s="285">
        <f t="shared" si="136"/>
        <v>69.444444444444443</v>
      </c>
      <c r="AT122" s="285">
        <f t="shared" si="136"/>
        <v>69.444444444444443</v>
      </c>
      <c r="AU122" s="285">
        <f t="shared" si="136"/>
        <v>69.444444444444443</v>
      </c>
      <c r="AV122" s="285">
        <f t="shared" si="136"/>
        <v>69.444444444444443</v>
      </c>
      <c r="AW122" s="285">
        <f t="shared" si="136"/>
        <v>69.444444444444443</v>
      </c>
      <c r="AX122" s="285">
        <f t="shared" si="136"/>
        <v>69.444444444444443</v>
      </c>
      <c r="AY122" s="285">
        <f t="shared" si="136"/>
        <v>69.444444444444443</v>
      </c>
      <c r="AZ122" s="285">
        <f t="shared" si="136"/>
        <v>69.444444444444443</v>
      </c>
      <c r="BA122" s="285">
        <f t="shared" si="136"/>
        <v>69.444444444444443</v>
      </c>
      <c r="BB122" s="285">
        <f t="shared" si="136"/>
        <v>69.444444444444443</v>
      </c>
      <c r="BC122" s="285">
        <f t="shared" si="136"/>
        <v>69.444444444444443</v>
      </c>
      <c r="BD122" s="285">
        <f t="shared" si="136"/>
        <v>69.444444444444443</v>
      </c>
      <c r="BE122" s="285">
        <f t="shared" si="136"/>
        <v>69.444444444444443</v>
      </c>
      <c r="BF122" s="285">
        <f t="shared" si="136"/>
        <v>69.444444444444443</v>
      </c>
      <c r="BG122" s="285">
        <f t="shared" si="136"/>
        <v>69.444444444444443</v>
      </c>
      <c r="BH122" s="285">
        <f t="shared" si="136"/>
        <v>69.444444444444443</v>
      </c>
      <c r="BI122" s="285">
        <f t="shared" si="136"/>
        <v>69.444444444444443</v>
      </c>
      <c r="BJ122" s="285">
        <f t="shared" si="136"/>
        <v>69.444444444444443</v>
      </c>
      <c r="BK122" s="285">
        <f t="shared" si="136"/>
        <v>69.444444444444443</v>
      </c>
      <c r="BL122" s="285">
        <f t="shared" si="136"/>
        <v>69.444444444444443</v>
      </c>
      <c r="BM122" s="285">
        <f t="shared" si="136"/>
        <v>69.444444444444443</v>
      </c>
      <c r="BN122" s="285">
        <f t="shared" si="136"/>
        <v>69.444444444444443</v>
      </c>
      <c r="BO122" s="285">
        <f t="shared" si="136"/>
        <v>69.444444444444443</v>
      </c>
      <c r="BP122" s="285">
        <f t="shared" si="136"/>
        <v>69.444444444444443</v>
      </c>
      <c r="BQ122" s="285">
        <f t="shared" si="136"/>
        <v>69.444444444444443</v>
      </c>
      <c r="BR122" s="285">
        <f t="shared" si="136"/>
        <v>69.444444444444443</v>
      </c>
      <c r="BS122" s="285">
        <f t="shared" si="136"/>
        <v>69.444444444444443</v>
      </c>
      <c r="BT122" s="285">
        <f t="shared" si="136"/>
        <v>69.444444444444443</v>
      </c>
      <c r="BU122" s="285">
        <f t="shared" si="136"/>
        <v>69.444444444444443</v>
      </c>
      <c r="BV122" s="285">
        <f t="shared" si="136"/>
        <v>69.444444444444443</v>
      </c>
      <c r="BW122" s="285">
        <f t="shared" si="136"/>
        <v>69.444444444444443</v>
      </c>
      <c r="BX122" s="285">
        <f t="shared" si="136"/>
        <v>69.444444444444443</v>
      </c>
      <c r="BY122" s="285">
        <f t="shared" si="136"/>
        <v>69.444444444444443</v>
      </c>
      <c r="BZ122" s="285">
        <f t="shared" si="136"/>
        <v>69.444444444444443</v>
      </c>
      <c r="CA122" s="285">
        <f t="shared" si="136"/>
        <v>69.444444444444443</v>
      </c>
      <c r="CB122" s="285">
        <f t="shared" si="136"/>
        <v>69.444444444444443</v>
      </c>
      <c r="CC122" s="285">
        <f t="shared" ref="CC122:DU122" si="137">$C$122/$E$122/12</f>
        <v>69.444444444444443</v>
      </c>
      <c r="CD122" s="285">
        <f t="shared" si="137"/>
        <v>69.444444444444443</v>
      </c>
      <c r="CE122" s="285">
        <f t="shared" si="137"/>
        <v>69.444444444444443</v>
      </c>
      <c r="CF122" s="285">
        <f t="shared" si="137"/>
        <v>69.444444444444443</v>
      </c>
      <c r="CG122" s="285">
        <f t="shared" si="137"/>
        <v>69.444444444444443</v>
      </c>
      <c r="CH122" s="285">
        <f t="shared" si="137"/>
        <v>69.444444444444443</v>
      </c>
      <c r="CI122" s="285">
        <f t="shared" si="137"/>
        <v>69.444444444444443</v>
      </c>
      <c r="CJ122" s="285">
        <f t="shared" si="137"/>
        <v>69.444444444444443</v>
      </c>
      <c r="CK122" s="285">
        <f t="shared" si="137"/>
        <v>69.444444444444443</v>
      </c>
      <c r="CL122" s="285">
        <f t="shared" si="137"/>
        <v>69.444444444444443</v>
      </c>
      <c r="CM122" s="285">
        <f t="shared" si="137"/>
        <v>69.444444444444443</v>
      </c>
      <c r="CN122" s="285">
        <f t="shared" si="137"/>
        <v>69.444444444444443</v>
      </c>
      <c r="CO122" s="285">
        <f t="shared" si="137"/>
        <v>69.444444444444443</v>
      </c>
      <c r="CP122" s="285">
        <f t="shared" si="137"/>
        <v>69.444444444444443</v>
      </c>
      <c r="CQ122" s="285">
        <f t="shared" si="137"/>
        <v>69.444444444444443</v>
      </c>
      <c r="CR122" s="285">
        <f t="shared" si="137"/>
        <v>69.444444444444443</v>
      </c>
      <c r="CS122" s="285">
        <f t="shared" si="137"/>
        <v>69.444444444444443</v>
      </c>
      <c r="CT122" s="285">
        <f t="shared" si="137"/>
        <v>69.444444444444443</v>
      </c>
      <c r="CU122" s="285">
        <f t="shared" si="137"/>
        <v>69.444444444444443</v>
      </c>
      <c r="CV122" s="285">
        <f t="shared" si="137"/>
        <v>69.444444444444443</v>
      </c>
      <c r="CW122" s="285">
        <f t="shared" si="137"/>
        <v>69.444444444444443</v>
      </c>
      <c r="CX122" s="285">
        <f t="shared" si="137"/>
        <v>69.444444444444443</v>
      </c>
      <c r="CY122" s="285">
        <f t="shared" si="137"/>
        <v>69.444444444444443</v>
      </c>
      <c r="CZ122" s="285">
        <f t="shared" si="137"/>
        <v>69.444444444444443</v>
      </c>
      <c r="DA122" s="285">
        <f t="shared" si="137"/>
        <v>69.444444444444443</v>
      </c>
      <c r="DB122" s="285">
        <f t="shared" si="137"/>
        <v>69.444444444444443</v>
      </c>
      <c r="DC122" s="285">
        <f t="shared" si="137"/>
        <v>69.444444444444443</v>
      </c>
      <c r="DD122" s="285">
        <f t="shared" si="137"/>
        <v>69.444444444444443</v>
      </c>
      <c r="DE122" s="285">
        <f t="shared" si="137"/>
        <v>69.444444444444443</v>
      </c>
      <c r="DF122" s="285">
        <f t="shared" si="137"/>
        <v>69.444444444444443</v>
      </c>
      <c r="DG122" s="285">
        <f t="shared" si="137"/>
        <v>69.444444444444443</v>
      </c>
      <c r="DH122" s="285">
        <f t="shared" si="137"/>
        <v>69.444444444444443</v>
      </c>
      <c r="DI122" s="285">
        <f t="shared" si="137"/>
        <v>69.444444444444443</v>
      </c>
      <c r="DJ122" s="285">
        <f t="shared" si="137"/>
        <v>69.444444444444443</v>
      </c>
      <c r="DK122" s="285">
        <f t="shared" si="137"/>
        <v>69.444444444444443</v>
      </c>
      <c r="DL122" s="285">
        <f t="shared" si="137"/>
        <v>69.444444444444443</v>
      </c>
      <c r="DM122" s="285">
        <f t="shared" si="137"/>
        <v>69.444444444444443</v>
      </c>
      <c r="DN122" s="285">
        <f t="shared" si="137"/>
        <v>69.444444444444443</v>
      </c>
      <c r="DO122" s="285">
        <f t="shared" si="137"/>
        <v>69.444444444444443</v>
      </c>
      <c r="DP122" s="285">
        <f t="shared" si="137"/>
        <v>69.444444444444443</v>
      </c>
      <c r="DQ122" s="285">
        <f t="shared" si="137"/>
        <v>69.444444444444443</v>
      </c>
      <c r="DR122" s="285">
        <f t="shared" si="137"/>
        <v>69.444444444444443</v>
      </c>
      <c r="DS122" s="285">
        <f t="shared" si="137"/>
        <v>69.444444444444443</v>
      </c>
      <c r="DT122" s="285">
        <f t="shared" si="137"/>
        <v>69.444444444444443</v>
      </c>
      <c r="DU122" s="285">
        <f t="shared" si="137"/>
        <v>69.444444444444443</v>
      </c>
    </row>
    <row r="123" spans="1:125">
      <c r="B123" s="300" t="s">
        <v>112</v>
      </c>
      <c r="C123" s="301"/>
      <c r="D123" s="302"/>
      <c r="E123" s="302"/>
      <c r="F123" s="301">
        <f>SUM(F92:F122)</f>
        <v>2.2670250896057347</v>
      </c>
      <c r="G123" s="301">
        <f t="shared" ref="G123:BR123" si="138">SUM(G92:G122)</f>
        <v>2.2670250896057347</v>
      </c>
      <c r="H123" s="301">
        <f t="shared" si="138"/>
        <v>2.2670250896057347</v>
      </c>
      <c r="I123" s="301">
        <f t="shared" si="138"/>
        <v>2.2670250896057347</v>
      </c>
      <c r="J123" s="301">
        <f t="shared" si="138"/>
        <v>2.2670250896057347</v>
      </c>
      <c r="K123" s="301">
        <f t="shared" si="138"/>
        <v>2.2670250896057347</v>
      </c>
      <c r="L123" s="301">
        <f t="shared" si="138"/>
        <v>2.2670250896057347</v>
      </c>
      <c r="M123" s="301">
        <f t="shared" si="138"/>
        <v>2.2670250896057347</v>
      </c>
      <c r="N123" s="301">
        <f t="shared" si="138"/>
        <v>2.2670250896057347</v>
      </c>
      <c r="O123" s="301">
        <f t="shared" si="138"/>
        <v>2.2670250896057347</v>
      </c>
      <c r="P123" s="301">
        <f t="shared" si="138"/>
        <v>376.98736559139786</v>
      </c>
      <c r="Q123" s="301">
        <f t="shared" si="138"/>
        <v>376.98736559139786</v>
      </c>
      <c r="R123" s="301">
        <f t="shared" si="138"/>
        <v>376.98736559139786</v>
      </c>
      <c r="S123" s="301">
        <f t="shared" si="138"/>
        <v>376.98736559139786</v>
      </c>
      <c r="T123" s="301">
        <f t="shared" si="138"/>
        <v>376.98736559139786</v>
      </c>
      <c r="U123" s="301">
        <f t="shared" si="138"/>
        <v>376.98736559139786</v>
      </c>
      <c r="V123" s="301">
        <f t="shared" si="138"/>
        <v>376.98736559139786</v>
      </c>
      <c r="W123" s="301">
        <f t="shared" si="138"/>
        <v>376.98736559139786</v>
      </c>
      <c r="X123" s="301">
        <f t="shared" si="138"/>
        <v>376.98736559139786</v>
      </c>
      <c r="Y123" s="301">
        <f t="shared" si="138"/>
        <v>376.98736559139786</v>
      </c>
      <c r="Z123" s="301">
        <f t="shared" si="138"/>
        <v>376.98736559139786</v>
      </c>
      <c r="AA123" s="301">
        <f t="shared" si="138"/>
        <v>376.98736559139786</v>
      </c>
      <c r="AB123" s="301">
        <f t="shared" si="138"/>
        <v>376.98736559139786</v>
      </c>
      <c r="AC123" s="301">
        <f t="shared" si="138"/>
        <v>376.98736559139786</v>
      </c>
      <c r="AD123" s="301">
        <f t="shared" si="138"/>
        <v>376.98736559139786</v>
      </c>
      <c r="AE123" s="301">
        <f t="shared" si="138"/>
        <v>376.98736559139786</v>
      </c>
      <c r="AF123" s="301">
        <f t="shared" si="138"/>
        <v>376.98736559139786</v>
      </c>
      <c r="AG123" s="301">
        <f t="shared" si="138"/>
        <v>376.98736559139786</v>
      </c>
      <c r="AH123" s="301">
        <f t="shared" si="138"/>
        <v>376.98736559139786</v>
      </c>
      <c r="AI123" s="301">
        <f t="shared" si="138"/>
        <v>376.98736559139786</v>
      </c>
      <c r="AJ123" s="301">
        <f t="shared" si="138"/>
        <v>376.98736559139786</v>
      </c>
      <c r="AK123" s="301">
        <f t="shared" si="138"/>
        <v>376.98736559139786</v>
      </c>
      <c r="AL123" s="301">
        <f t="shared" si="138"/>
        <v>376.98736559139786</v>
      </c>
      <c r="AM123" s="301">
        <f t="shared" si="138"/>
        <v>376.98736559139786</v>
      </c>
      <c r="AN123" s="301">
        <f t="shared" si="138"/>
        <v>376.98736559139786</v>
      </c>
      <c r="AO123" s="301">
        <f t="shared" si="138"/>
        <v>376.98736559139786</v>
      </c>
      <c r="AP123" s="301">
        <f t="shared" si="138"/>
        <v>376.98736559139786</v>
      </c>
      <c r="AQ123" s="301">
        <f t="shared" si="138"/>
        <v>376.98736559139786</v>
      </c>
      <c r="AR123" s="301">
        <f t="shared" si="138"/>
        <v>376.98736559139786</v>
      </c>
      <c r="AS123" s="301">
        <f t="shared" si="138"/>
        <v>376.98736559139786</v>
      </c>
      <c r="AT123" s="301">
        <f t="shared" si="138"/>
        <v>376.98736559139786</v>
      </c>
      <c r="AU123" s="301">
        <f t="shared" si="138"/>
        <v>376.98736559139786</v>
      </c>
      <c r="AV123" s="301">
        <f t="shared" si="138"/>
        <v>376.98736559139786</v>
      </c>
      <c r="AW123" s="301">
        <f t="shared" si="138"/>
        <v>376.98736559139786</v>
      </c>
      <c r="AX123" s="301">
        <f t="shared" si="138"/>
        <v>376.98736559139786</v>
      </c>
      <c r="AY123" s="301">
        <f t="shared" si="138"/>
        <v>376.98736559139786</v>
      </c>
      <c r="AZ123" s="301">
        <f t="shared" si="138"/>
        <v>376.98736559139786</v>
      </c>
      <c r="BA123" s="301">
        <f t="shared" si="138"/>
        <v>376.98736559139786</v>
      </c>
      <c r="BB123" s="301">
        <f t="shared" si="138"/>
        <v>376.98736559139786</v>
      </c>
      <c r="BC123" s="301">
        <f t="shared" si="138"/>
        <v>376.98736559139786</v>
      </c>
      <c r="BD123" s="301">
        <f t="shared" si="138"/>
        <v>376.98736559139786</v>
      </c>
      <c r="BE123" s="301">
        <f t="shared" si="138"/>
        <v>376.98736559139786</v>
      </c>
      <c r="BF123" s="301">
        <f t="shared" si="138"/>
        <v>376.98736559139786</v>
      </c>
      <c r="BG123" s="301">
        <f t="shared" si="138"/>
        <v>376.98736559139786</v>
      </c>
      <c r="BH123" s="301">
        <f t="shared" si="138"/>
        <v>376.98736559139786</v>
      </c>
      <c r="BI123" s="301">
        <f t="shared" si="138"/>
        <v>376.98736559139786</v>
      </c>
      <c r="BJ123" s="301">
        <f t="shared" si="138"/>
        <v>376.98736559139786</v>
      </c>
      <c r="BK123" s="301">
        <f t="shared" si="138"/>
        <v>376.98736559139786</v>
      </c>
      <c r="BL123" s="301">
        <f t="shared" si="138"/>
        <v>376.98736559139786</v>
      </c>
      <c r="BM123" s="301">
        <f t="shared" si="138"/>
        <v>376.98736559139786</v>
      </c>
      <c r="BN123" s="301">
        <f t="shared" si="138"/>
        <v>376.98736559139786</v>
      </c>
      <c r="BO123" s="301">
        <f t="shared" si="138"/>
        <v>376.98736559139786</v>
      </c>
      <c r="BP123" s="301">
        <f t="shared" si="138"/>
        <v>376.98736559139786</v>
      </c>
      <c r="BQ123" s="301">
        <f t="shared" si="138"/>
        <v>376.98736559139786</v>
      </c>
      <c r="BR123" s="301">
        <f t="shared" si="138"/>
        <v>376.98736559139786</v>
      </c>
      <c r="BS123" s="301">
        <f t="shared" ref="BS123:DU123" si="139">SUM(BS92:BS122)</f>
        <v>376.98736559139786</v>
      </c>
      <c r="BT123" s="301">
        <f t="shared" si="139"/>
        <v>376.98736559139786</v>
      </c>
      <c r="BU123" s="301">
        <f t="shared" si="139"/>
        <v>376.98736559139786</v>
      </c>
      <c r="BV123" s="301">
        <f t="shared" si="139"/>
        <v>376.98736559139786</v>
      </c>
      <c r="BW123" s="301">
        <f t="shared" si="139"/>
        <v>376.98736559139786</v>
      </c>
      <c r="BX123" s="301">
        <f t="shared" si="139"/>
        <v>376.98736559139786</v>
      </c>
      <c r="BY123" s="301">
        <f t="shared" si="139"/>
        <v>376.98736559139786</v>
      </c>
      <c r="BZ123" s="301">
        <f t="shared" si="139"/>
        <v>376.98736559139786</v>
      </c>
      <c r="CA123" s="301">
        <f t="shared" si="139"/>
        <v>376.98736559139786</v>
      </c>
      <c r="CB123" s="301">
        <f t="shared" si="139"/>
        <v>376.98736559139786</v>
      </c>
      <c r="CC123" s="301">
        <f t="shared" si="139"/>
        <v>376.98736559139786</v>
      </c>
      <c r="CD123" s="301">
        <f t="shared" si="139"/>
        <v>376.98736559139786</v>
      </c>
      <c r="CE123" s="301">
        <f t="shared" si="139"/>
        <v>376.98736559139786</v>
      </c>
      <c r="CF123" s="301">
        <f t="shared" si="139"/>
        <v>376.98736559139786</v>
      </c>
      <c r="CG123" s="301">
        <f t="shared" si="139"/>
        <v>376.98736559139786</v>
      </c>
      <c r="CH123" s="301">
        <f t="shared" si="139"/>
        <v>376.98736559139786</v>
      </c>
      <c r="CI123" s="301">
        <f t="shared" si="139"/>
        <v>376.98736559139786</v>
      </c>
      <c r="CJ123" s="301">
        <f t="shared" si="139"/>
        <v>376.98736559139786</v>
      </c>
      <c r="CK123" s="301">
        <f t="shared" si="139"/>
        <v>376.98736559139786</v>
      </c>
      <c r="CL123" s="301">
        <f t="shared" si="139"/>
        <v>376.98736559139786</v>
      </c>
      <c r="CM123" s="301">
        <f t="shared" si="139"/>
        <v>376.98736559139786</v>
      </c>
      <c r="CN123" s="301">
        <f t="shared" si="139"/>
        <v>376.98736559139786</v>
      </c>
      <c r="CO123" s="301">
        <f t="shared" si="139"/>
        <v>376.98736559139786</v>
      </c>
      <c r="CP123" s="301">
        <f t="shared" si="139"/>
        <v>376.98736559139786</v>
      </c>
      <c r="CQ123" s="301">
        <f t="shared" si="139"/>
        <v>376.98736559139786</v>
      </c>
      <c r="CR123" s="301">
        <f t="shared" si="139"/>
        <v>376.98736559139786</v>
      </c>
      <c r="CS123" s="301">
        <f t="shared" si="139"/>
        <v>376.98736559139786</v>
      </c>
      <c r="CT123" s="301">
        <f t="shared" si="139"/>
        <v>376.98736559139786</v>
      </c>
      <c r="CU123" s="301">
        <f t="shared" si="139"/>
        <v>376.98736559139786</v>
      </c>
      <c r="CV123" s="301">
        <f t="shared" si="139"/>
        <v>376.98736559139786</v>
      </c>
      <c r="CW123" s="301">
        <f t="shared" si="139"/>
        <v>376.98736559139786</v>
      </c>
      <c r="CX123" s="301">
        <f t="shared" si="139"/>
        <v>376.98736559139786</v>
      </c>
      <c r="CY123" s="301">
        <f t="shared" si="139"/>
        <v>376.98736559139786</v>
      </c>
      <c r="CZ123" s="301">
        <f t="shared" si="139"/>
        <v>376.98736559139786</v>
      </c>
      <c r="DA123" s="301">
        <f t="shared" si="139"/>
        <v>376.98736559139786</v>
      </c>
      <c r="DB123" s="301">
        <f t="shared" si="139"/>
        <v>376.98736559139786</v>
      </c>
      <c r="DC123" s="301">
        <f t="shared" si="139"/>
        <v>376.98736559139786</v>
      </c>
      <c r="DD123" s="301">
        <f t="shared" si="139"/>
        <v>376.98736559139786</v>
      </c>
      <c r="DE123" s="301">
        <f t="shared" si="139"/>
        <v>376.98736559139786</v>
      </c>
      <c r="DF123" s="301">
        <f t="shared" si="139"/>
        <v>376.98736559139786</v>
      </c>
      <c r="DG123" s="301">
        <f t="shared" si="139"/>
        <v>376.98736559139786</v>
      </c>
      <c r="DH123" s="301">
        <f t="shared" si="139"/>
        <v>376.98736559139786</v>
      </c>
      <c r="DI123" s="301">
        <f t="shared" si="139"/>
        <v>376.98736559139786</v>
      </c>
      <c r="DJ123" s="301">
        <f t="shared" si="139"/>
        <v>376.98736559139786</v>
      </c>
      <c r="DK123" s="301">
        <f t="shared" si="139"/>
        <v>376.98736559139786</v>
      </c>
      <c r="DL123" s="301">
        <f t="shared" si="139"/>
        <v>376.98736559139786</v>
      </c>
      <c r="DM123" s="301">
        <f t="shared" si="139"/>
        <v>376.98736559139786</v>
      </c>
      <c r="DN123" s="301">
        <f t="shared" si="139"/>
        <v>376.98736559139786</v>
      </c>
      <c r="DO123" s="301">
        <f t="shared" si="139"/>
        <v>376.98736559139786</v>
      </c>
      <c r="DP123" s="301">
        <f t="shared" si="139"/>
        <v>376.98736559139786</v>
      </c>
      <c r="DQ123" s="301">
        <f t="shared" si="139"/>
        <v>376.98736559139786</v>
      </c>
      <c r="DR123" s="301">
        <f t="shared" si="139"/>
        <v>376.98736559139786</v>
      </c>
      <c r="DS123" s="301">
        <f t="shared" si="139"/>
        <v>376.98736559139786</v>
      </c>
      <c r="DT123" s="301">
        <f t="shared" si="139"/>
        <v>376.98736559139786</v>
      </c>
      <c r="DU123" s="301">
        <f t="shared" si="139"/>
        <v>376.98736559139786</v>
      </c>
    </row>
    <row r="124" spans="1:125" s="304" customFormat="1">
      <c r="A124" s="55"/>
      <c r="B124" s="121"/>
      <c r="C124" s="198"/>
      <c r="D124" s="198"/>
      <c r="E124" s="198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  <c r="BK124" s="303"/>
      <c r="BL124" s="303"/>
      <c r="BM124" s="303"/>
      <c r="BN124" s="303"/>
      <c r="BO124" s="303"/>
      <c r="BP124" s="303"/>
      <c r="BQ124" s="303"/>
      <c r="BR124" s="303"/>
      <c r="BS124" s="303"/>
      <c r="BT124" s="303"/>
      <c r="BU124" s="303"/>
      <c r="BV124" s="303"/>
      <c r="BW124" s="303"/>
      <c r="BX124" s="303"/>
      <c r="BY124" s="303"/>
      <c r="BZ124" s="303"/>
      <c r="CA124" s="303"/>
      <c r="CB124" s="303"/>
      <c r="CC124" s="303"/>
      <c r="CD124" s="303"/>
      <c r="CE124" s="303"/>
      <c r="CF124" s="303"/>
      <c r="CG124" s="303"/>
      <c r="CH124" s="303"/>
      <c r="CI124" s="303"/>
      <c r="CJ124" s="303"/>
      <c r="CK124" s="303"/>
      <c r="CL124" s="303"/>
      <c r="CM124" s="303"/>
      <c r="CN124" s="303"/>
      <c r="CO124" s="303"/>
      <c r="CP124" s="303"/>
      <c r="CQ124" s="303"/>
      <c r="CR124" s="303"/>
      <c r="CS124" s="303"/>
      <c r="CT124" s="303"/>
      <c r="CU124" s="303"/>
      <c r="CV124" s="303"/>
      <c r="CW124" s="303"/>
      <c r="CX124" s="303"/>
      <c r="CY124" s="303"/>
      <c r="CZ124" s="303"/>
      <c r="DA124" s="303"/>
      <c r="DB124" s="303"/>
      <c r="DC124" s="303"/>
      <c r="DD124" s="303"/>
      <c r="DE124" s="303"/>
      <c r="DF124" s="303"/>
      <c r="DG124" s="303"/>
      <c r="DH124" s="303"/>
      <c r="DI124" s="303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</row>
    <row r="125" spans="1:125">
      <c r="B125" s="279" t="s">
        <v>212</v>
      </c>
      <c r="C125" s="280"/>
      <c r="D125" s="281"/>
      <c r="E125" s="281"/>
      <c r="F125" s="280">
        <f>F85+F123</f>
        <v>2.2670250896057347</v>
      </c>
      <c r="G125" s="280">
        <f t="shared" ref="G125:BR125" si="140">G85+G123</f>
        <v>2.2670250896057347</v>
      </c>
      <c r="H125" s="280">
        <f t="shared" si="140"/>
        <v>2.2670250896057347</v>
      </c>
      <c r="I125" s="280">
        <f t="shared" si="140"/>
        <v>2.2670250896057347</v>
      </c>
      <c r="J125" s="280">
        <f t="shared" si="140"/>
        <v>2.2670250896057347</v>
      </c>
      <c r="K125" s="280">
        <f t="shared" si="140"/>
        <v>2.2670250896057347</v>
      </c>
      <c r="L125" s="280">
        <f t="shared" si="140"/>
        <v>2.2670250896057347</v>
      </c>
      <c r="M125" s="280">
        <f t="shared" si="140"/>
        <v>2.2670250896057347</v>
      </c>
      <c r="N125" s="280">
        <f t="shared" si="140"/>
        <v>2.2670250896057347</v>
      </c>
      <c r="O125" s="280">
        <f t="shared" si="140"/>
        <v>2.2670250896057347</v>
      </c>
      <c r="P125" s="280">
        <f t="shared" si="140"/>
        <v>376.98736559139786</v>
      </c>
      <c r="Q125" s="280">
        <f t="shared" si="140"/>
        <v>509.52802419354839</v>
      </c>
      <c r="R125" s="280">
        <f t="shared" si="140"/>
        <v>509.52802419354839</v>
      </c>
      <c r="S125" s="280">
        <f t="shared" si="140"/>
        <v>509.52802419354839</v>
      </c>
      <c r="T125" s="280">
        <f t="shared" si="140"/>
        <v>509.52802419354839</v>
      </c>
      <c r="U125" s="280">
        <f t="shared" si="140"/>
        <v>509.52802419354839</v>
      </c>
      <c r="V125" s="280">
        <f t="shared" si="140"/>
        <v>509.52802419354839</v>
      </c>
      <c r="W125" s="280">
        <f t="shared" si="140"/>
        <v>509.52802419354839</v>
      </c>
      <c r="X125" s="280">
        <f t="shared" si="140"/>
        <v>509.52802419354839</v>
      </c>
      <c r="Y125" s="280">
        <f t="shared" si="140"/>
        <v>509.52802419354839</v>
      </c>
      <c r="Z125" s="280">
        <f t="shared" si="140"/>
        <v>509.52802419354839</v>
      </c>
      <c r="AA125" s="280">
        <f t="shared" si="140"/>
        <v>509.52802419354839</v>
      </c>
      <c r="AB125" s="280">
        <f t="shared" si="140"/>
        <v>509.52802419354839</v>
      </c>
      <c r="AC125" s="280">
        <f t="shared" si="140"/>
        <v>611.76533437873366</v>
      </c>
      <c r="AD125" s="280">
        <f t="shared" si="140"/>
        <v>611.76533437873366</v>
      </c>
      <c r="AE125" s="280">
        <f t="shared" si="140"/>
        <v>611.76533437873366</v>
      </c>
      <c r="AF125" s="280">
        <f t="shared" si="140"/>
        <v>611.76533437873366</v>
      </c>
      <c r="AG125" s="280">
        <f t="shared" si="140"/>
        <v>611.76533437873366</v>
      </c>
      <c r="AH125" s="280">
        <f t="shared" si="140"/>
        <v>611.76533437873366</v>
      </c>
      <c r="AI125" s="280">
        <f t="shared" si="140"/>
        <v>611.76533437873366</v>
      </c>
      <c r="AJ125" s="280">
        <f t="shared" si="140"/>
        <v>611.76533437873366</v>
      </c>
      <c r="AK125" s="280">
        <f t="shared" si="140"/>
        <v>611.76533437873366</v>
      </c>
      <c r="AL125" s="280">
        <f t="shared" si="140"/>
        <v>611.76533437873366</v>
      </c>
      <c r="AM125" s="280">
        <f t="shared" si="140"/>
        <v>611.76533437873366</v>
      </c>
      <c r="AN125" s="280">
        <f t="shared" si="140"/>
        <v>611.76533437873366</v>
      </c>
      <c r="AO125" s="280">
        <f t="shared" si="140"/>
        <v>724.2263755824373</v>
      </c>
      <c r="AP125" s="280">
        <f t="shared" si="140"/>
        <v>724.2263755824373</v>
      </c>
      <c r="AQ125" s="280">
        <f t="shared" si="140"/>
        <v>724.2263755824373</v>
      </c>
      <c r="AR125" s="280">
        <f t="shared" si="140"/>
        <v>724.2263755824373</v>
      </c>
      <c r="AS125" s="280">
        <f t="shared" si="140"/>
        <v>724.2263755824373</v>
      </c>
      <c r="AT125" s="280">
        <f t="shared" si="140"/>
        <v>724.2263755824373</v>
      </c>
      <c r="AU125" s="280">
        <f t="shared" si="140"/>
        <v>724.2263755824373</v>
      </c>
      <c r="AV125" s="280">
        <f t="shared" si="140"/>
        <v>724.2263755824373</v>
      </c>
      <c r="AW125" s="280">
        <f t="shared" si="140"/>
        <v>724.2263755824373</v>
      </c>
      <c r="AX125" s="280">
        <f t="shared" si="140"/>
        <v>724.2263755824373</v>
      </c>
      <c r="AY125" s="280">
        <f t="shared" si="140"/>
        <v>724.2263755824373</v>
      </c>
      <c r="AZ125" s="280">
        <f t="shared" si="140"/>
        <v>847.93352090651138</v>
      </c>
      <c r="BA125" s="280">
        <f t="shared" si="140"/>
        <v>847.93352090651138</v>
      </c>
      <c r="BB125" s="280">
        <f t="shared" si="140"/>
        <v>847.93352090651138</v>
      </c>
      <c r="BC125" s="280">
        <f t="shared" si="140"/>
        <v>847.93352090651138</v>
      </c>
      <c r="BD125" s="280">
        <f t="shared" si="140"/>
        <v>847.93352090651138</v>
      </c>
      <c r="BE125" s="280">
        <f t="shared" si="140"/>
        <v>847.93352090651138</v>
      </c>
      <c r="BF125" s="280">
        <f t="shared" si="140"/>
        <v>847.93352090651138</v>
      </c>
      <c r="BG125" s="280">
        <f t="shared" si="140"/>
        <v>847.93352090651138</v>
      </c>
      <c r="BH125" s="280">
        <f t="shared" si="140"/>
        <v>847.93352090651138</v>
      </c>
      <c r="BI125" s="280">
        <f t="shared" si="140"/>
        <v>847.93352090651138</v>
      </c>
      <c r="BJ125" s="280">
        <f t="shared" si="140"/>
        <v>847.93352090651138</v>
      </c>
      <c r="BK125" s="280">
        <f t="shared" si="140"/>
        <v>847.93352090651138</v>
      </c>
      <c r="BL125" s="280">
        <f t="shared" si="140"/>
        <v>847.93352090651138</v>
      </c>
      <c r="BM125" s="280">
        <f t="shared" si="140"/>
        <v>847.93352090651138</v>
      </c>
      <c r="BN125" s="280">
        <f t="shared" si="140"/>
        <v>847.93352090651138</v>
      </c>
      <c r="BO125" s="280">
        <f t="shared" si="140"/>
        <v>847.93352090651138</v>
      </c>
      <c r="BP125" s="280">
        <f t="shared" si="140"/>
        <v>847.93352090651138</v>
      </c>
      <c r="BQ125" s="280">
        <f t="shared" si="140"/>
        <v>847.93352090651138</v>
      </c>
      <c r="BR125" s="280">
        <f t="shared" si="140"/>
        <v>847.93352090651138</v>
      </c>
      <c r="BS125" s="280">
        <f t="shared" ref="BS125:DU125" si="141">BS85+BS123</f>
        <v>847.93352090651138</v>
      </c>
      <c r="BT125" s="280">
        <f t="shared" si="141"/>
        <v>847.93352090651138</v>
      </c>
      <c r="BU125" s="280">
        <f t="shared" si="141"/>
        <v>847.93352090651138</v>
      </c>
      <c r="BV125" s="280">
        <f t="shared" si="141"/>
        <v>847.93352090651138</v>
      </c>
      <c r="BW125" s="280">
        <f t="shared" si="141"/>
        <v>847.93352090651138</v>
      </c>
      <c r="BX125" s="280">
        <f t="shared" si="141"/>
        <v>847.93352090651138</v>
      </c>
      <c r="BY125" s="280">
        <f t="shared" si="141"/>
        <v>847.93352090651138</v>
      </c>
      <c r="BZ125" s="280">
        <f t="shared" si="141"/>
        <v>847.93352090651138</v>
      </c>
      <c r="CA125" s="280">
        <f t="shared" si="141"/>
        <v>847.93352090651138</v>
      </c>
      <c r="CB125" s="280">
        <f t="shared" si="141"/>
        <v>847.93352090651138</v>
      </c>
      <c r="CC125" s="280">
        <f t="shared" si="141"/>
        <v>847.93352090651138</v>
      </c>
      <c r="CD125" s="280">
        <f t="shared" si="141"/>
        <v>847.93352090651138</v>
      </c>
      <c r="CE125" s="280">
        <f t="shared" si="141"/>
        <v>847.93352090651138</v>
      </c>
      <c r="CF125" s="280">
        <f t="shared" si="141"/>
        <v>847.93352090651138</v>
      </c>
      <c r="CG125" s="280">
        <f t="shared" si="141"/>
        <v>847.93352090651138</v>
      </c>
      <c r="CH125" s="280">
        <f t="shared" si="141"/>
        <v>847.93352090651138</v>
      </c>
      <c r="CI125" s="280">
        <f t="shared" si="141"/>
        <v>847.93352090651138</v>
      </c>
      <c r="CJ125" s="280">
        <f t="shared" si="141"/>
        <v>847.93352090651138</v>
      </c>
      <c r="CK125" s="280">
        <f t="shared" si="141"/>
        <v>847.93352090651138</v>
      </c>
      <c r="CL125" s="280">
        <f t="shared" si="141"/>
        <v>847.93352090651138</v>
      </c>
      <c r="CM125" s="280">
        <f t="shared" si="141"/>
        <v>847.93352090651138</v>
      </c>
      <c r="CN125" s="280">
        <f t="shared" si="141"/>
        <v>847.93352090651138</v>
      </c>
      <c r="CO125" s="280">
        <f t="shared" si="141"/>
        <v>847.93352090651138</v>
      </c>
      <c r="CP125" s="280">
        <f t="shared" si="141"/>
        <v>847.93352090651138</v>
      </c>
      <c r="CQ125" s="280">
        <f t="shared" si="141"/>
        <v>847.93352090651138</v>
      </c>
      <c r="CR125" s="280">
        <f t="shared" si="141"/>
        <v>847.93352090651138</v>
      </c>
      <c r="CS125" s="280">
        <f t="shared" si="141"/>
        <v>847.93352090651138</v>
      </c>
      <c r="CT125" s="280">
        <f t="shared" si="141"/>
        <v>847.93352090651138</v>
      </c>
      <c r="CU125" s="280">
        <f t="shared" si="141"/>
        <v>847.93352090651138</v>
      </c>
      <c r="CV125" s="280">
        <f t="shared" si="141"/>
        <v>847.93352090651138</v>
      </c>
      <c r="CW125" s="280">
        <f t="shared" si="141"/>
        <v>847.93352090651138</v>
      </c>
      <c r="CX125" s="280">
        <f t="shared" si="141"/>
        <v>847.93352090651138</v>
      </c>
      <c r="CY125" s="280">
        <f t="shared" si="141"/>
        <v>847.93352090651138</v>
      </c>
      <c r="CZ125" s="280">
        <f t="shared" si="141"/>
        <v>847.93352090651138</v>
      </c>
      <c r="DA125" s="280">
        <f t="shared" si="141"/>
        <v>847.93352090651138</v>
      </c>
      <c r="DB125" s="280">
        <f t="shared" si="141"/>
        <v>847.93352090651138</v>
      </c>
      <c r="DC125" s="280">
        <f t="shared" si="141"/>
        <v>847.93352090651138</v>
      </c>
      <c r="DD125" s="280">
        <f t="shared" si="141"/>
        <v>847.93352090651138</v>
      </c>
      <c r="DE125" s="280">
        <f t="shared" si="141"/>
        <v>847.93352090651138</v>
      </c>
      <c r="DF125" s="280">
        <f t="shared" si="141"/>
        <v>847.93352090651138</v>
      </c>
      <c r="DG125" s="280">
        <f t="shared" si="141"/>
        <v>847.93352090651138</v>
      </c>
      <c r="DH125" s="280">
        <f t="shared" si="141"/>
        <v>847.93352090651138</v>
      </c>
      <c r="DI125" s="280">
        <f t="shared" si="141"/>
        <v>847.93352090651138</v>
      </c>
      <c r="DJ125" s="280">
        <f t="shared" si="141"/>
        <v>847.93352090651138</v>
      </c>
      <c r="DK125" s="280">
        <f t="shared" si="141"/>
        <v>847.93352090651138</v>
      </c>
      <c r="DL125" s="280">
        <f t="shared" si="141"/>
        <v>847.93352090651138</v>
      </c>
      <c r="DM125" s="280">
        <f t="shared" si="141"/>
        <v>847.93352090651138</v>
      </c>
      <c r="DN125" s="280">
        <f t="shared" si="141"/>
        <v>847.93352090651138</v>
      </c>
      <c r="DO125" s="280">
        <f t="shared" si="141"/>
        <v>847.93352090651138</v>
      </c>
      <c r="DP125" s="280">
        <f t="shared" si="141"/>
        <v>847.93352090651138</v>
      </c>
      <c r="DQ125" s="280">
        <f t="shared" si="141"/>
        <v>847.93352090651138</v>
      </c>
      <c r="DR125" s="280">
        <f t="shared" si="141"/>
        <v>847.93352090651138</v>
      </c>
      <c r="DS125" s="280">
        <f t="shared" si="141"/>
        <v>847.93352090651138</v>
      </c>
      <c r="DT125" s="280">
        <f t="shared" si="141"/>
        <v>847.93352090651138</v>
      </c>
      <c r="DU125" s="280">
        <f t="shared" si="141"/>
        <v>847.93352090651138</v>
      </c>
    </row>
    <row r="126" spans="1:125" s="310" customFormat="1">
      <c r="A126" s="306"/>
      <c r="B126" s="307" t="s">
        <v>214</v>
      </c>
      <c r="C126" s="308"/>
      <c r="D126" s="309"/>
      <c r="E126" s="309"/>
      <c r="F126" s="308">
        <v>0</v>
      </c>
      <c r="G126" s="308">
        <f>((G86+F86)/2)/12+((F87+G87)/2)/12+((F88+G88)/2)/12+((F89+G89)/2)/12</f>
        <v>0</v>
      </c>
      <c r="H126" s="308">
        <f t="shared" ref="H126:BS126" si="142">((H86+G86)/2)/12+((G87+H87)/2)/12+((G88+H88)/2)/12+((G89+H89)/2)/12</f>
        <v>0</v>
      </c>
      <c r="I126" s="308">
        <f t="shared" si="142"/>
        <v>0</v>
      </c>
      <c r="J126" s="308">
        <f t="shared" si="142"/>
        <v>0</v>
      </c>
      <c r="K126" s="308">
        <f t="shared" si="142"/>
        <v>0</v>
      </c>
      <c r="L126" s="308">
        <f t="shared" si="142"/>
        <v>0</v>
      </c>
      <c r="M126" s="308">
        <f t="shared" si="142"/>
        <v>0</v>
      </c>
      <c r="N126" s="308">
        <f t="shared" si="142"/>
        <v>0</v>
      </c>
      <c r="O126" s="308">
        <f t="shared" si="142"/>
        <v>0</v>
      </c>
      <c r="P126" s="308">
        <f t="shared" si="142"/>
        <v>2054.3802083333335</v>
      </c>
      <c r="Q126" s="308">
        <f t="shared" si="142"/>
        <v>4103.2378892249108</v>
      </c>
      <c r="R126" s="308">
        <f t="shared" si="142"/>
        <v>4092.1928343413988</v>
      </c>
      <c r="S126" s="308">
        <f t="shared" si="142"/>
        <v>4081.1477794578859</v>
      </c>
      <c r="T126" s="308">
        <f t="shared" si="142"/>
        <v>4070.102724574374</v>
      </c>
      <c r="U126" s="308">
        <f t="shared" si="142"/>
        <v>4059.0576696908611</v>
      </c>
      <c r="V126" s="308">
        <f t="shared" si="142"/>
        <v>4048.0126148073491</v>
      </c>
      <c r="W126" s="308">
        <f t="shared" si="142"/>
        <v>4036.9675599238362</v>
      </c>
      <c r="X126" s="308">
        <f t="shared" si="142"/>
        <v>4025.9225050403243</v>
      </c>
      <c r="Y126" s="308">
        <f t="shared" si="142"/>
        <v>4014.8774501568114</v>
      </c>
      <c r="Z126" s="308">
        <f t="shared" si="142"/>
        <v>4003.8323952732994</v>
      </c>
      <c r="AA126" s="308">
        <f t="shared" si="142"/>
        <v>3992.7873403897866</v>
      </c>
      <c r="AB126" s="308">
        <f t="shared" si="142"/>
        <v>5566.4205933766461</v>
      </c>
      <c r="AC126" s="308">
        <f t="shared" si="142"/>
        <v>7135.7939584391224</v>
      </c>
      <c r="AD126" s="308">
        <f t="shared" si="142"/>
        <v>7116.2291277068443</v>
      </c>
      <c r="AE126" s="308">
        <f t="shared" si="142"/>
        <v>7096.6642969745662</v>
      </c>
      <c r="AF126" s="308">
        <f t="shared" si="142"/>
        <v>7077.0994662422891</v>
      </c>
      <c r="AG126" s="308">
        <f t="shared" si="142"/>
        <v>7057.53463551001</v>
      </c>
      <c r="AH126" s="308">
        <f t="shared" si="142"/>
        <v>7037.9698047777329</v>
      </c>
      <c r="AI126" s="308">
        <f t="shared" si="142"/>
        <v>7018.4049740454557</v>
      </c>
      <c r="AJ126" s="308">
        <f t="shared" si="142"/>
        <v>6998.8401433131776</v>
      </c>
      <c r="AK126" s="308">
        <f t="shared" si="142"/>
        <v>6979.2753125808995</v>
      </c>
      <c r="AL126" s="308">
        <f t="shared" si="142"/>
        <v>6959.7104818486223</v>
      </c>
      <c r="AM126" s="308">
        <f t="shared" si="142"/>
        <v>6940.1456511163433</v>
      </c>
      <c r="AN126" s="308">
        <f t="shared" si="142"/>
        <v>8663.7269590414726</v>
      </c>
      <c r="AO126" s="308">
        <f t="shared" si="142"/>
        <v>10382.62239024978</v>
      </c>
      <c r="AP126" s="308">
        <f t="shared" si="142"/>
        <v>10353.68580608386</v>
      </c>
      <c r="AQ126" s="308">
        <f t="shared" si="142"/>
        <v>10324.74922191794</v>
      </c>
      <c r="AR126" s="308">
        <f t="shared" si="142"/>
        <v>10295.812637752022</v>
      </c>
      <c r="AS126" s="308">
        <f t="shared" si="142"/>
        <v>10266.876053586102</v>
      </c>
      <c r="AT126" s="308">
        <f t="shared" si="142"/>
        <v>10237.939469420182</v>
      </c>
      <c r="AU126" s="308">
        <f t="shared" si="142"/>
        <v>10209.002885254264</v>
      </c>
      <c r="AV126" s="308">
        <f t="shared" si="142"/>
        <v>10180.066301088344</v>
      </c>
      <c r="AW126" s="308">
        <f t="shared" si="142"/>
        <v>10151.129716922424</v>
      </c>
      <c r="AX126" s="308">
        <f t="shared" si="142"/>
        <v>10122.193132756505</v>
      </c>
      <c r="AY126" s="308">
        <f t="shared" si="142"/>
        <v>12010.717301113735</v>
      </c>
      <c r="AZ126" s="308">
        <f t="shared" si="142"/>
        <v>13894.08700508246</v>
      </c>
      <c r="BA126" s="308">
        <f t="shared" si="142"/>
        <v>13854.841492139536</v>
      </c>
      <c r="BB126" s="308">
        <f t="shared" si="142"/>
        <v>13815.595979196611</v>
      </c>
      <c r="BC126" s="308">
        <f t="shared" si="142"/>
        <v>13776.350466253685</v>
      </c>
      <c r="BD126" s="308">
        <f t="shared" si="142"/>
        <v>13737.10495331076</v>
      </c>
      <c r="BE126" s="308">
        <f t="shared" si="142"/>
        <v>13697.859440367834</v>
      </c>
      <c r="BF126" s="308">
        <f t="shared" si="142"/>
        <v>13658.613927424907</v>
      </c>
      <c r="BG126" s="308">
        <f t="shared" si="142"/>
        <v>13619.368414481984</v>
      </c>
      <c r="BH126" s="308">
        <f t="shared" si="142"/>
        <v>13580.122901539058</v>
      </c>
      <c r="BI126" s="308">
        <f t="shared" si="142"/>
        <v>13540.877388596133</v>
      </c>
      <c r="BJ126" s="308">
        <f t="shared" si="142"/>
        <v>13501.631875653207</v>
      </c>
      <c r="BK126" s="308">
        <f t="shared" si="142"/>
        <v>13462.386362710282</v>
      </c>
      <c r="BL126" s="308">
        <f t="shared" si="142"/>
        <v>13423.140849767355</v>
      </c>
      <c r="BM126" s="308">
        <f t="shared" si="142"/>
        <v>13383.895336824431</v>
      </c>
      <c r="BN126" s="308">
        <f t="shared" si="142"/>
        <v>13344.649823881506</v>
      </c>
      <c r="BO126" s="308">
        <f t="shared" si="142"/>
        <v>13305.40431093858</v>
      </c>
      <c r="BP126" s="308">
        <f t="shared" si="142"/>
        <v>13266.158797995655</v>
      </c>
      <c r="BQ126" s="308">
        <f t="shared" si="142"/>
        <v>13226.913285052729</v>
      </c>
      <c r="BR126" s="308">
        <f t="shared" si="142"/>
        <v>13187.667772109802</v>
      </c>
      <c r="BS126" s="308">
        <f t="shared" si="142"/>
        <v>13148.422259166879</v>
      </c>
      <c r="BT126" s="308">
        <f t="shared" ref="BT126:DU126" si="143">((BT86+BS86)/2)/12+((BS87+BT87)/2)/12+((BS88+BT88)/2)/12+((BS89+BT89)/2)/12</f>
        <v>13109.176746223953</v>
      </c>
      <c r="BU126" s="308">
        <f t="shared" si="143"/>
        <v>13069.931233281028</v>
      </c>
      <c r="BV126" s="308">
        <f t="shared" si="143"/>
        <v>13030.685720338102</v>
      </c>
      <c r="BW126" s="308">
        <f t="shared" si="143"/>
        <v>12991.440207395177</v>
      </c>
      <c r="BX126" s="308">
        <f t="shared" si="143"/>
        <v>12952.19469445225</v>
      </c>
      <c r="BY126" s="308">
        <f t="shared" si="143"/>
        <v>12912.949181509326</v>
      </c>
      <c r="BZ126" s="308">
        <f t="shared" si="143"/>
        <v>12873.703668566401</v>
      </c>
      <c r="CA126" s="308">
        <f t="shared" si="143"/>
        <v>12834.458155623475</v>
      </c>
      <c r="CB126" s="308">
        <f t="shared" si="143"/>
        <v>12795.21264268055</v>
      </c>
      <c r="CC126" s="308">
        <f t="shared" si="143"/>
        <v>12755.967129737624</v>
      </c>
      <c r="CD126" s="308">
        <f t="shared" si="143"/>
        <v>12716.721616794697</v>
      </c>
      <c r="CE126" s="308">
        <f t="shared" si="143"/>
        <v>12677.476103851774</v>
      </c>
      <c r="CF126" s="308">
        <f t="shared" si="143"/>
        <v>12638.230590908848</v>
      </c>
      <c r="CG126" s="308">
        <f t="shared" si="143"/>
        <v>12598.985077965923</v>
      </c>
      <c r="CH126" s="308">
        <f t="shared" si="143"/>
        <v>12559.739565022997</v>
      </c>
      <c r="CI126" s="308">
        <f t="shared" si="143"/>
        <v>12520.494052080072</v>
      </c>
      <c r="CJ126" s="308">
        <f t="shared" si="143"/>
        <v>12481.248539137145</v>
      </c>
      <c r="CK126" s="308">
        <f t="shared" si="143"/>
        <v>12442.003026194221</v>
      </c>
      <c r="CL126" s="308">
        <f t="shared" si="143"/>
        <v>12402.757513251296</v>
      </c>
      <c r="CM126" s="308">
        <f t="shared" si="143"/>
        <v>12363.51200030837</v>
      </c>
      <c r="CN126" s="308">
        <f t="shared" si="143"/>
        <v>12324.266487365445</v>
      </c>
      <c r="CO126" s="308">
        <f t="shared" si="143"/>
        <v>12285.020974422519</v>
      </c>
      <c r="CP126" s="308">
        <f t="shared" si="143"/>
        <v>12245.775461479592</v>
      </c>
      <c r="CQ126" s="308">
        <f t="shared" si="143"/>
        <v>12206.529948536669</v>
      </c>
      <c r="CR126" s="308">
        <f t="shared" si="143"/>
        <v>12167.284435593743</v>
      </c>
      <c r="CS126" s="308">
        <f t="shared" si="143"/>
        <v>12128.038922650818</v>
      </c>
      <c r="CT126" s="308">
        <f t="shared" si="143"/>
        <v>12088.793409707892</v>
      </c>
      <c r="CU126" s="308">
        <f t="shared" si="143"/>
        <v>12049.547896764967</v>
      </c>
      <c r="CV126" s="308">
        <f t="shared" si="143"/>
        <v>12010.30238382204</v>
      </c>
      <c r="CW126" s="308">
        <f t="shared" si="143"/>
        <v>11971.056870879116</v>
      </c>
      <c r="CX126" s="308">
        <f t="shared" si="143"/>
        <v>11931.811357936191</v>
      </c>
      <c r="CY126" s="308">
        <f t="shared" si="143"/>
        <v>11892.565844993265</v>
      </c>
      <c r="CZ126" s="308">
        <f t="shared" si="143"/>
        <v>11853.32033205034</v>
      </c>
      <c r="DA126" s="308">
        <f t="shared" si="143"/>
        <v>11814.074819107414</v>
      </c>
      <c r="DB126" s="308">
        <f t="shared" si="143"/>
        <v>11774.829306164487</v>
      </c>
      <c r="DC126" s="308">
        <f t="shared" si="143"/>
        <v>11735.583793221564</v>
      </c>
      <c r="DD126" s="308">
        <f t="shared" si="143"/>
        <v>11696.338280278638</v>
      </c>
      <c r="DE126" s="308">
        <f t="shared" si="143"/>
        <v>11657.092767335713</v>
      </c>
      <c r="DF126" s="308">
        <f t="shared" si="143"/>
        <v>11617.847254392787</v>
      </c>
      <c r="DG126" s="308">
        <f t="shared" si="143"/>
        <v>11578.601741449862</v>
      </c>
      <c r="DH126" s="308">
        <f t="shared" si="143"/>
        <v>11539.356228506935</v>
      </c>
      <c r="DI126" s="308">
        <f t="shared" si="143"/>
        <v>11500.110715564011</v>
      </c>
      <c r="DJ126" s="308">
        <f t="shared" si="143"/>
        <v>11460.865202621086</v>
      </c>
      <c r="DK126" s="308">
        <f t="shared" si="143"/>
        <v>11421.61968967816</v>
      </c>
      <c r="DL126" s="308">
        <f t="shared" si="143"/>
        <v>11382.374176735235</v>
      </c>
      <c r="DM126" s="308">
        <f t="shared" si="143"/>
        <v>11343.128663792309</v>
      </c>
      <c r="DN126" s="308">
        <f t="shared" si="143"/>
        <v>11303.883150849382</v>
      </c>
      <c r="DO126" s="308">
        <f t="shared" si="143"/>
        <v>11264.637637906459</v>
      </c>
      <c r="DP126" s="308">
        <f t="shared" si="143"/>
        <v>11225.392124963533</v>
      </c>
      <c r="DQ126" s="308">
        <f t="shared" si="143"/>
        <v>11186.146612020608</v>
      </c>
      <c r="DR126" s="308">
        <f t="shared" si="143"/>
        <v>11146.901099077682</v>
      </c>
      <c r="DS126" s="308">
        <f t="shared" si="143"/>
        <v>11107.655586134755</v>
      </c>
      <c r="DT126" s="308">
        <f t="shared" si="143"/>
        <v>11068.41007319183</v>
      </c>
      <c r="DU126" s="308">
        <f t="shared" si="143"/>
        <v>11029.164560248904</v>
      </c>
    </row>
    <row r="127" spans="1:125">
      <c r="B127" s="279" t="s">
        <v>213</v>
      </c>
      <c r="C127" s="280"/>
      <c r="D127" s="281"/>
      <c r="E127" s="281"/>
      <c r="F127" s="280"/>
      <c r="G127" s="280"/>
      <c r="H127" s="280">
        <f>SUM(F126:H126)</f>
        <v>0</v>
      </c>
      <c r="I127" s="280"/>
      <c r="J127" s="280"/>
      <c r="K127" s="280">
        <f>SUM(I126:K126)</f>
        <v>0</v>
      </c>
      <c r="L127" s="280"/>
      <c r="M127" s="280"/>
      <c r="N127" s="280">
        <f>SUM(L126:N126)</f>
        <v>0</v>
      </c>
      <c r="O127" s="280"/>
      <c r="P127" s="280"/>
      <c r="Q127" s="280">
        <f>SUM(O126:Q126)</f>
        <v>6157.6180975582447</v>
      </c>
      <c r="R127" s="280"/>
      <c r="S127" s="280"/>
      <c r="T127" s="280">
        <f>SUM(R126:T126)</f>
        <v>12243.443338373658</v>
      </c>
      <c r="U127" s="280"/>
      <c r="V127" s="280"/>
      <c r="W127" s="280">
        <f>SUM(U126:W126)</f>
        <v>12144.037844422046</v>
      </c>
      <c r="X127" s="280"/>
      <c r="Y127" s="280"/>
      <c r="Z127" s="280">
        <f>SUM(X126:Z126)</f>
        <v>12044.632350470434</v>
      </c>
      <c r="AA127" s="280"/>
      <c r="AB127" s="280"/>
      <c r="AC127" s="280">
        <f>SUM(AA126:AC126)</f>
        <v>16695.001892205553</v>
      </c>
      <c r="AD127" s="280"/>
      <c r="AE127" s="280"/>
      <c r="AF127" s="280">
        <f>SUM(AD126:AF126)</f>
        <v>21289.992890923699</v>
      </c>
      <c r="AG127" s="280"/>
      <c r="AH127" s="280"/>
      <c r="AI127" s="280">
        <f>SUM(AG126:AI126)</f>
        <v>21113.909414333197</v>
      </c>
      <c r="AJ127" s="280"/>
      <c r="AK127" s="280"/>
      <c r="AL127" s="280">
        <f>SUM(AJ126:AL126)</f>
        <v>20937.825937742698</v>
      </c>
      <c r="AM127" s="280"/>
      <c r="AN127" s="280"/>
      <c r="AO127" s="280">
        <f>SUM(AM126:AO126)</f>
        <v>25986.495000407594</v>
      </c>
      <c r="AP127" s="280"/>
      <c r="AQ127" s="280"/>
      <c r="AR127" s="280">
        <f>SUM(AP126:AR126)</f>
        <v>30974.247665753821</v>
      </c>
      <c r="AS127" s="280"/>
      <c r="AT127" s="280"/>
      <c r="AU127" s="280">
        <f>SUM(AS126:AU126)</f>
        <v>30713.818408260548</v>
      </c>
      <c r="AV127" s="280"/>
      <c r="AW127" s="280"/>
      <c r="AX127" s="280">
        <f>SUM(AV126:AX126)</f>
        <v>30453.389150767274</v>
      </c>
      <c r="AY127" s="280"/>
      <c r="AZ127" s="280"/>
      <c r="BA127" s="280">
        <f>SUM(AY126:BA126)</f>
        <v>39759.645798335732</v>
      </c>
      <c r="BB127" s="280"/>
      <c r="BC127" s="280"/>
      <c r="BD127" s="280">
        <f>SUM(BB126:BD126)</f>
        <v>41329.051398761054</v>
      </c>
      <c r="BE127" s="280"/>
      <c r="BF127" s="280"/>
      <c r="BG127" s="280">
        <f>SUM(BE126:BG126)</f>
        <v>40975.841782274729</v>
      </c>
      <c r="BH127" s="280"/>
      <c r="BI127" s="280"/>
      <c r="BJ127" s="280">
        <f>SUM(BH126:BJ126)</f>
        <v>40622.632165788396</v>
      </c>
      <c r="BK127" s="280"/>
      <c r="BL127" s="280"/>
      <c r="BM127" s="280">
        <f>SUM(BK126:BM126)</f>
        <v>40269.422549302071</v>
      </c>
      <c r="BN127" s="280"/>
      <c r="BO127" s="280"/>
      <c r="BP127" s="280">
        <f>SUM(BN126:BP126)</f>
        <v>39916.212932815739</v>
      </c>
      <c r="BQ127" s="280"/>
      <c r="BR127" s="280"/>
      <c r="BS127" s="280">
        <f>SUM(BQ126:BS126)</f>
        <v>39563.003316329414</v>
      </c>
      <c r="BT127" s="280"/>
      <c r="BU127" s="280"/>
      <c r="BV127" s="280">
        <f>SUM(BT126:BV126)</f>
        <v>39209.793699843081</v>
      </c>
      <c r="BW127" s="280"/>
      <c r="BX127" s="280"/>
      <c r="BY127" s="280">
        <f>SUM(BW126:BY126)</f>
        <v>38856.584083356756</v>
      </c>
      <c r="BZ127" s="280"/>
      <c r="CA127" s="280"/>
      <c r="CB127" s="280">
        <f>SUM(BZ126:CB126)</f>
        <v>38503.374466870424</v>
      </c>
      <c r="CC127" s="280"/>
      <c r="CD127" s="280"/>
      <c r="CE127" s="280">
        <f>SUM(CC126:CE126)</f>
        <v>38150.164850384099</v>
      </c>
      <c r="CF127" s="280"/>
      <c r="CG127" s="280"/>
      <c r="CH127" s="280">
        <f>SUM(CF126:CH126)</f>
        <v>37796.955233897766</v>
      </c>
      <c r="CI127" s="280"/>
      <c r="CJ127" s="280"/>
      <c r="CK127" s="280">
        <f>SUM(CI126:CK126)</f>
        <v>37443.745617411441</v>
      </c>
      <c r="CL127" s="280"/>
      <c r="CM127" s="280"/>
      <c r="CN127" s="280">
        <f>SUM(CL126:CN126)</f>
        <v>37090.536000925109</v>
      </c>
      <c r="CO127" s="280"/>
      <c r="CP127" s="280"/>
      <c r="CQ127" s="280">
        <f>SUM(CO126:CQ126)</f>
        <v>36737.326384438784</v>
      </c>
      <c r="CR127" s="280"/>
      <c r="CS127" s="280"/>
      <c r="CT127" s="280">
        <f>SUM(CR126:CT126)</f>
        <v>36384.116767952451</v>
      </c>
      <c r="CU127" s="280"/>
      <c r="CV127" s="280"/>
      <c r="CW127" s="280">
        <f>SUM(CU126:CW126)</f>
        <v>36030.907151466126</v>
      </c>
      <c r="CX127" s="280"/>
      <c r="CY127" s="280"/>
      <c r="CZ127" s="280">
        <f>SUM(CX126:CZ126)</f>
        <v>35677.697534979794</v>
      </c>
      <c r="DA127" s="280"/>
      <c r="DB127" s="280"/>
      <c r="DC127" s="280">
        <f>SUM(DA126:DC126)</f>
        <v>35324.487918493469</v>
      </c>
      <c r="DD127" s="280"/>
      <c r="DE127" s="280"/>
      <c r="DF127" s="280">
        <f>SUM(DD126:DF126)</f>
        <v>34971.278302007137</v>
      </c>
      <c r="DG127" s="280"/>
      <c r="DH127" s="280"/>
      <c r="DI127" s="280">
        <f>SUM(DG126:DI126)</f>
        <v>34618.068685520811</v>
      </c>
      <c r="DJ127" s="280"/>
      <c r="DK127" s="280"/>
      <c r="DL127" s="280">
        <f t="shared" ref="DL127:DU127" si="144">SUM(DJ126:DL126)</f>
        <v>34264.859069034479</v>
      </c>
      <c r="DM127" s="280"/>
      <c r="DN127" s="280"/>
      <c r="DO127" s="280">
        <f t="shared" si="144"/>
        <v>33911.649452548154</v>
      </c>
      <c r="DP127" s="280"/>
      <c r="DQ127" s="280"/>
      <c r="DR127" s="280">
        <f t="shared" si="144"/>
        <v>33558.439836061822</v>
      </c>
      <c r="DS127" s="280"/>
      <c r="DT127" s="280"/>
      <c r="DU127" s="280">
        <f t="shared" si="144"/>
        <v>33205.230219575489</v>
      </c>
    </row>
    <row r="128" spans="1:125">
      <c r="B128" s="328"/>
      <c r="C128" s="332"/>
      <c r="D128" s="332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</row>
    <row r="129" spans="2:125">
      <c r="B129" s="410"/>
      <c r="C129" s="273" t="s">
        <v>441</v>
      </c>
      <c r="O129" s="321"/>
      <c r="P129" s="324"/>
      <c r="Q129" s="210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</row>
    <row r="130" spans="2:125">
      <c r="B130" s="385"/>
      <c r="C130" s="273" t="s">
        <v>442</v>
      </c>
      <c r="O130" s="321"/>
      <c r="P130" s="324"/>
      <c r="Q130" s="210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</row>
    <row r="131" spans="2:125">
      <c r="C131" s="273" t="s">
        <v>443</v>
      </c>
      <c r="O131" s="321" t="str">
        <f>B3</f>
        <v>Подготовительные работы</v>
      </c>
      <c r="R131" s="322">
        <f>E3</f>
        <v>165</v>
      </c>
      <c r="S131" s="325">
        <f>R131/$E$74</f>
        <v>4.6589079867010331E-4</v>
      </c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</row>
    <row r="132" spans="2:125">
      <c r="O132" s="321" t="str">
        <f>B6</f>
        <v>Строительство и обустройство территории и помещений</v>
      </c>
      <c r="R132" s="322">
        <f>E6+E14+E37+E38+E39</f>
        <v>281663.76773266669</v>
      </c>
      <c r="S132" s="325">
        <f>R132/$E$74</f>
        <v>0.79530034972971253</v>
      </c>
    </row>
    <row r="133" spans="2:125">
      <c r="O133" s="323" t="str">
        <f>B40</f>
        <v>Производственное оборудование</v>
      </c>
      <c r="R133" s="322">
        <f>E40</f>
        <v>16387.16</v>
      </c>
      <c r="S133" s="325">
        <f>R133/$E$74</f>
        <v>4.6270467032331938E-2</v>
      </c>
    </row>
    <row r="134" spans="2:125">
      <c r="O134" s="321" t="str">
        <f>B68</f>
        <v>Дополнительные расходы</v>
      </c>
      <c r="R134" s="322">
        <f>E68</f>
        <v>49000</v>
      </c>
      <c r="S134" s="325">
        <f>R134/$E$74</f>
        <v>0.13835544930203067</v>
      </c>
    </row>
    <row r="135" spans="2:125">
      <c r="O135" s="321" t="str">
        <f>B73</f>
        <v xml:space="preserve">Непредвиденные расходы 2% от инвестиций </v>
      </c>
      <c r="R135" s="322">
        <f>E73</f>
        <v>6944.3185546533359</v>
      </c>
      <c r="S135" s="325">
        <f>R135/$E$74</f>
        <v>1.9607843137254909E-2</v>
      </c>
    </row>
    <row r="137" spans="2:125">
      <c r="O137" s="321"/>
      <c r="P137" s="324"/>
      <c r="Q137" s="326"/>
    </row>
  </sheetData>
  <mergeCells count="17">
    <mergeCell ref="BN1:BY1"/>
    <mergeCell ref="BB1:BM1"/>
    <mergeCell ref="F1:Q1"/>
    <mergeCell ref="R1:AC1"/>
    <mergeCell ref="AD1:AO1"/>
    <mergeCell ref="AP1:BA1"/>
    <mergeCell ref="DJ78:DU78"/>
    <mergeCell ref="BN78:BY78"/>
    <mergeCell ref="A75:B75"/>
    <mergeCell ref="BB78:BM78"/>
    <mergeCell ref="BZ78:CK78"/>
    <mergeCell ref="CL78:CW78"/>
    <mergeCell ref="CX78:DI78"/>
    <mergeCell ref="F78:Q78"/>
    <mergeCell ref="R78:AC78"/>
    <mergeCell ref="AD78:AO78"/>
    <mergeCell ref="AP78:BA78"/>
  </mergeCells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4" tint="0.39997558519241921"/>
    <pageSetUpPr fitToPage="1"/>
  </sheetPr>
  <dimension ref="A1:EC45"/>
  <sheetViews>
    <sheetView zoomScale="90" zoomScaleNormal="90" workbookViewId="0">
      <pane xSplit="1" topLeftCell="B1" activePane="topRight" state="frozen"/>
      <selection pane="topRight" activeCell="N16" sqref="N16"/>
    </sheetView>
  </sheetViews>
  <sheetFormatPr defaultColWidth="9.140625" defaultRowHeight="12.75"/>
  <cols>
    <col min="1" max="1" width="63.85546875" style="78" customWidth="1"/>
    <col min="2" max="13" width="10.42578125" style="78" customWidth="1"/>
    <col min="14" max="25" width="10.28515625" style="78" customWidth="1"/>
    <col min="26" max="37" width="10.28515625" style="84" customWidth="1"/>
    <col min="38" max="73" width="11.7109375" style="84" customWidth="1"/>
    <col min="74" max="16384" width="9.140625" style="84"/>
  </cols>
  <sheetData>
    <row r="1" spans="1:133" s="62" customFormat="1" ht="18" customHeight="1" thickBot="1">
      <c r="A1" s="85" t="s">
        <v>47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133" s="80" customFormat="1" ht="13.5" customHeight="1">
      <c r="A2" s="79" t="s">
        <v>393</v>
      </c>
      <c r="B2" s="439">
        <f>ДДС!C2</f>
        <v>2022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1"/>
      <c r="N2" s="439">
        <f>ДДС!O2</f>
        <v>2023</v>
      </c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1"/>
      <c r="Z2" s="439">
        <f>ДДС!AA2</f>
        <v>2024</v>
      </c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1"/>
      <c r="AL2" s="439">
        <f>ДДС!AM2</f>
        <v>2025</v>
      </c>
      <c r="AM2" s="440"/>
      <c r="AN2" s="440"/>
      <c r="AO2" s="440"/>
      <c r="AP2" s="440"/>
      <c r="AQ2" s="440"/>
      <c r="AR2" s="440"/>
      <c r="AS2" s="440"/>
      <c r="AT2" s="440"/>
      <c r="AU2" s="440"/>
      <c r="AV2" s="440"/>
      <c r="AW2" s="441"/>
      <c r="AX2" s="439">
        <f>ДДС!AY2</f>
        <v>2026</v>
      </c>
      <c r="AY2" s="440"/>
      <c r="AZ2" s="440"/>
      <c r="BA2" s="440"/>
      <c r="BB2" s="440"/>
      <c r="BC2" s="440"/>
      <c r="BD2" s="440"/>
      <c r="BE2" s="440"/>
      <c r="BF2" s="440"/>
      <c r="BG2" s="440"/>
      <c r="BH2" s="440"/>
      <c r="BI2" s="441"/>
      <c r="BJ2" s="439">
        <f>ДДС!BK2</f>
        <v>2027</v>
      </c>
      <c r="BK2" s="440"/>
      <c r="BL2" s="440"/>
      <c r="BM2" s="440"/>
      <c r="BN2" s="440"/>
      <c r="BO2" s="440"/>
      <c r="BP2" s="440"/>
      <c r="BQ2" s="440"/>
      <c r="BR2" s="440"/>
      <c r="BS2" s="440"/>
      <c r="BT2" s="440"/>
      <c r="BU2" s="441"/>
      <c r="BV2" s="439">
        <f>ДДС!BW2</f>
        <v>2028</v>
      </c>
      <c r="BW2" s="440"/>
      <c r="BX2" s="440"/>
      <c r="BY2" s="440"/>
      <c r="BZ2" s="440"/>
      <c r="CA2" s="440"/>
      <c r="CB2" s="440"/>
      <c r="CC2" s="440"/>
      <c r="CD2" s="440"/>
      <c r="CE2" s="440"/>
      <c r="CF2" s="440"/>
      <c r="CG2" s="441"/>
      <c r="CH2" s="439">
        <f>ДДС!CI2</f>
        <v>2029</v>
      </c>
      <c r="CI2" s="440"/>
      <c r="CJ2" s="440"/>
      <c r="CK2" s="440"/>
      <c r="CL2" s="440"/>
      <c r="CM2" s="440"/>
      <c r="CN2" s="440"/>
      <c r="CO2" s="440"/>
      <c r="CP2" s="440"/>
      <c r="CQ2" s="440"/>
      <c r="CR2" s="440"/>
      <c r="CS2" s="441"/>
      <c r="CT2" s="439">
        <f>ДДС!CU2</f>
        <v>2030</v>
      </c>
      <c r="CU2" s="440"/>
      <c r="CV2" s="440"/>
      <c r="CW2" s="440"/>
      <c r="CX2" s="440"/>
      <c r="CY2" s="440"/>
      <c r="CZ2" s="440"/>
      <c r="DA2" s="440"/>
      <c r="DB2" s="440"/>
      <c r="DC2" s="440"/>
      <c r="DD2" s="440"/>
      <c r="DE2" s="441"/>
      <c r="DF2" s="439">
        <f>ДДС!DG2</f>
        <v>2031</v>
      </c>
      <c r="DG2" s="440"/>
      <c r="DH2" s="440"/>
      <c r="DI2" s="440"/>
      <c r="DJ2" s="440"/>
      <c r="DK2" s="440"/>
      <c r="DL2" s="440"/>
      <c r="DM2" s="440"/>
      <c r="DN2" s="440"/>
      <c r="DO2" s="440"/>
      <c r="DP2" s="440"/>
      <c r="DQ2" s="441"/>
      <c r="DR2" s="439">
        <f>ДДС!DS2</f>
        <v>2032</v>
      </c>
      <c r="DS2" s="440"/>
      <c r="DT2" s="440"/>
      <c r="DU2" s="440"/>
      <c r="DV2" s="440"/>
      <c r="DW2" s="440"/>
      <c r="DX2" s="440"/>
      <c r="DY2" s="440"/>
      <c r="DZ2" s="440"/>
      <c r="EA2" s="440"/>
      <c r="EB2" s="440"/>
      <c r="EC2" s="441"/>
    </row>
    <row r="3" spans="1:133" s="81" customFormat="1" ht="13.5" customHeight="1">
      <c r="A3" s="228" t="s">
        <v>9</v>
      </c>
      <c r="B3" s="87">
        <f>ДДС!C3</f>
        <v>44592</v>
      </c>
      <c r="C3" s="87">
        <f>ДДС!D3</f>
        <v>44620</v>
      </c>
      <c r="D3" s="87">
        <f>ДДС!E3</f>
        <v>44651</v>
      </c>
      <c r="E3" s="87">
        <f>ДДС!F3</f>
        <v>44681</v>
      </c>
      <c r="F3" s="87">
        <f>ДДС!G3</f>
        <v>44712</v>
      </c>
      <c r="G3" s="87">
        <f>ДДС!H3</f>
        <v>44742</v>
      </c>
      <c r="H3" s="87">
        <f>ДДС!I3</f>
        <v>44773</v>
      </c>
      <c r="I3" s="87">
        <f>ДДС!J3</f>
        <v>44804</v>
      </c>
      <c r="J3" s="87">
        <f>ДДС!K3</f>
        <v>44834</v>
      </c>
      <c r="K3" s="87">
        <f>ДДС!L3</f>
        <v>44865</v>
      </c>
      <c r="L3" s="87">
        <f>ДДС!M3</f>
        <v>44895</v>
      </c>
      <c r="M3" s="87">
        <f>ДДС!N3</f>
        <v>44926</v>
      </c>
      <c r="N3" s="87">
        <f>ДДС!O3</f>
        <v>44957</v>
      </c>
      <c r="O3" s="87">
        <f>ДДС!P3</f>
        <v>44985</v>
      </c>
      <c r="P3" s="87">
        <f>ДДС!Q3</f>
        <v>45016</v>
      </c>
      <c r="Q3" s="87">
        <f>ДДС!R3</f>
        <v>45046</v>
      </c>
      <c r="R3" s="87">
        <f>ДДС!S3</f>
        <v>45077</v>
      </c>
      <c r="S3" s="87">
        <f>ДДС!T3</f>
        <v>45107</v>
      </c>
      <c r="T3" s="87">
        <f>ДДС!U3</f>
        <v>45138</v>
      </c>
      <c r="U3" s="87">
        <f>ДДС!V3</f>
        <v>45169</v>
      </c>
      <c r="V3" s="87">
        <f>ДДС!W3</f>
        <v>45199</v>
      </c>
      <c r="W3" s="87">
        <f>ДДС!X3</f>
        <v>45230</v>
      </c>
      <c r="X3" s="87">
        <f>ДДС!Y3</f>
        <v>45260</v>
      </c>
      <c r="Y3" s="87">
        <f>ДДС!Z3</f>
        <v>45291</v>
      </c>
      <c r="Z3" s="87">
        <f>ДДС!AA3</f>
        <v>45322</v>
      </c>
      <c r="AA3" s="87">
        <f>ДДС!AB3</f>
        <v>45351</v>
      </c>
      <c r="AB3" s="87">
        <f>ДДС!AC3</f>
        <v>45382</v>
      </c>
      <c r="AC3" s="87">
        <f>ДДС!AD3</f>
        <v>45412</v>
      </c>
      <c r="AD3" s="87">
        <f>ДДС!AE3</f>
        <v>45443</v>
      </c>
      <c r="AE3" s="87">
        <f>ДДС!AF3</f>
        <v>45473</v>
      </c>
      <c r="AF3" s="87">
        <f>ДДС!AG3</f>
        <v>45504</v>
      </c>
      <c r="AG3" s="87">
        <f>ДДС!AH3</f>
        <v>45535</v>
      </c>
      <c r="AH3" s="87">
        <f>ДДС!AI3</f>
        <v>45565</v>
      </c>
      <c r="AI3" s="87">
        <f>ДДС!AJ3</f>
        <v>45596</v>
      </c>
      <c r="AJ3" s="87">
        <f>ДДС!AK3</f>
        <v>45626</v>
      </c>
      <c r="AK3" s="87">
        <f>ДДС!AL3</f>
        <v>45657</v>
      </c>
      <c r="AL3" s="87">
        <f>ДДС!AM3</f>
        <v>45688</v>
      </c>
      <c r="AM3" s="87">
        <f>ДДС!AN3</f>
        <v>45716</v>
      </c>
      <c r="AN3" s="87">
        <f>ДДС!AO3</f>
        <v>45747</v>
      </c>
      <c r="AO3" s="87">
        <f>ДДС!AP3</f>
        <v>45777</v>
      </c>
      <c r="AP3" s="87">
        <f>ДДС!AQ3</f>
        <v>45808</v>
      </c>
      <c r="AQ3" s="87">
        <f>ДДС!AR3</f>
        <v>45838</v>
      </c>
      <c r="AR3" s="87">
        <f>ДДС!AS3</f>
        <v>45869</v>
      </c>
      <c r="AS3" s="87">
        <f>ДДС!AT3</f>
        <v>45900</v>
      </c>
      <c r="AT3" s="87">
        <f>ДДС!AU3</f>
        <v>45930</v>
      </c>
      <c r="AU3" s="87">
        <f>ДДС!AV3</f>
        <v>45961</v>
      </c>
      <c r="AV3" s="87">
        <f>ДДС!AW3</f>
        <v>45991</v>
      </c>
      <c r="AW3" s="87">
        <f>ДДС!AX3</f>
        <v>46022</v>
      </c>
      <c r="AX3" s="87">
        <f>ДДС!AY3</f>
        <v>46053</v>
      </c>
      <c r="AY3" s="87">
        <f>ДДС!AZ3</f>
        <v>46081</v>
      </c>
      <c r="AZ3" s="87">
        <f>ДДС!BA3</f>
        <v>46112</v>
      </c>
      <c r="BA3" s="87">
        <f>ДДС!BB3</f>
        <v>46142</v>
      </c>
      <c r="BB3" s="87">
        <f>ДДС!BC3</f>
        <v>46173</v>
      </c>
      <c r="BC3" s="87">
        <f>ДДС!BD3</f>
        <v>46203</v>
      </c>
      <c r="BD3" s="87">
        <f>ДДС!BE3</f>
        <v>46234</v>
      </c>
      <c r="BE3" s="87">
        <f>ДДС!BF3</f>
        <v>46265</v>
      </c>
      <c r="BF3" s="87">
        <f>ДДС!BG3</f>
        <v>46295</v>
      </c>
      <c r="BG3" s="87">
        <f>ДДС!BH3</f>
        <v>46326</v>
      </c>
      <c r="BH3" s="87">
        <f>ДДС!BI3</f>
        <v>46356</v>
      </c>
      <c r="BI3" s="87">
        <f>ДДС!BJ3</f>
        <v>46387</v>
      </c>
      <c r="BJ3" s="87">
        <f>ДДС!BK3</f>
        <v>46418</v>
      </c>
      <c r="BK3" s="87">
        <f>ДДС!BL3</f>
        <v>46446</v>
      </c>
      <c r="BL3" s="87">
        <f>ДДС!BM3</f>
        <v>46477</v>
      </c>
      <c r="BM3" s="87">
        <f>ДДС!BN3</f>
        <v>46507</v>
      </c>
      <c r="BN3" s="87">
        <f>ДДС!BO3</f>
        <v>46538</v>
      </c>
      <c r="BO3" s="87">
        <f>ДДС!BP3</f>
        <v>46568</v>
      </c>
      <c r="BP3" s="87">
        <f>ДДС!BQ3</f>
        <v>46599</v>
      </c>
      <c r="BQ3" s="87">
        <f>ДДС!BR3</f>
        <v>46630</v>
      </c>
      <c r="BR3" s="87">
        <f>ДДС!BS3</f>
        <v>46660</v>
      </c>
      <c r="BS3" s="87">
        <f>ДДС!BT3</f>
        <v>46691</v>
      </c>
      <c r="BT3" s="87">
        <f>ДДС!BU3</f>
        <v>46721</v>
      </c>
      <c r="BU3" s="87">
        <f>ДДС!BV3</f>
        <v>46752</v>
      </c>
      <c r="BV3" s="87">
        <f>ДДС!BW3</f>
        <v>46783</v>
      </c>
      <c r="BW3" s="87">
        <f>ДДС!BX3</f>
        <v>46812</v>
      </c>
      <c r="BX3" s="87">
        <f>ДДС!BY3</f>
        <v>46843</v>
      </c>
      <c r="BY3" s="87">
        <f>ДДС!BZ3</f>
        <v>46873</v>
      </c>
      <c r="BZ3" s="87">
        <f>ДДС!CA3</f>
        <v>46904</v>
      </c>
      <c r="CA3" s="87">
        <f>ДДС!CB3</f>
        <v>46934</v>
      </c>
      <c r="CB3" s="87">
        <f>ДДС!CC3</f>
        <v>46965</v>
      </c>
      <c r="CC3" s="87">
        <f>ДДС!CD3</f>
        <v>46996</v>
      </c>
      <c r="CD3" s="87">
        <f>ДДС!CE3</f>
        <v>47026</v>
      </c>
      <c r="CE3" s="87">
        <f>ДДС!CF3</f>
        <v>47057</v>
      </c>
      <c r="CF3" s="87">
        <f>ДДС!CG3</f>
        <v>47087</v>
      </c>
      <c r="CG3" s="87">
        <f>ДДС!CH3</f>
        <v>47118</v>
      </c>
      <c r="CH3" s="87">
        <f>ДДС!CI3</f>
        <v>47149</v>
      </c>
      <c r="CI3" s="87">
        <f>ДДС!CJ3</f>
        <v>47177</v>
      </c>
      <c r="CJ3" s="87">
        <f>ДДС!CK3</f>
        <v>47208</v>
      </c>
      <c r="CK3" s="87">
        <f>ДДС!CL3</f>
        <v>47238</v>
      </c>
      <c r="CL3" s="87">
        <f>ДДС!CM3</f>
        <v>47269</v>
      </c>
      <c r="CM3" s="87">
        <f>ДДС!CN3</f>
        <v>47299</v>
      </c>
      <c r="CN3" s="87">
        <f>ДДС!CO3</f>
        <v>47330</v>
      </c>
      <c r="CO3" s="87">
        <f>ДДС!CP3</f>
        <v>47361</v>
      </c>
      <c r="CP3" s="87">
        <f>ДДС!CQ3</f>
        <v>47391</v>
      </c>
      <c r="CQ3" s="87">
        <f>ДДС!CR3</f>
        <v>47422</v>
      </c>
      <c r="CR3" s="87">
        <f>ДДС!CS3</f>
        <v>47452</v>
      </c>
      <c r="CS3" s="87">
        <f>ДДС!CT3</f>
        <v>47483</v>
      </c>
      <c r="CT3" s="87">
        <f>ДДС!CU3</f>
        <v>47514</v>
      </c>
      <c r="CU3" s="87">
        <f>ДДС!CV3</f>
        <v>47542</v>
      </c>
      <c r="CV3" s="87">
        <f>ДДС!CW3</f>
        <v>47573</v>
      </c>
      <c r="CW3" s="87">
        <f>ДДС!CX3</f>
        <v>47603</v>
      </c>
      <c r="CX3" s="87">
        <f>ДДС!CY3</f>
        <v>47634</v>
      </c>
      <c r="CY3" s="87">
        <f>ДДС!CZ3</f>
        <v>47664</v>
      </c>
      <c r="CZ3" s="87">
        <f>ДДС!DA3</f>
        <v>47695</v>
      </c>
      <c r="DA3" s="87">
        <f>ДДС!DB3</f>
        <v>47726</v>
      </c>
      <c r="DB3" s="87">
        <f>ДДС!DC3</f>
        <v>47756</v>
      </c>
      <c r="DC3" s="87">
        <f>ДДС!DD3</f>
        <v>47787</v>
      </c>
      <c r="DD3" s="87">
        <f>ДДС!DE3</f>
        <v>47817</v>
      </c>
      <c r="DE3" s="87">
        <f>ДДС!DF3</f>
        <v>47848</v>
      </c>
      <c r="DF3" s="87">
        <f>ДДС!DG3</f>
        <v>47879</v>
      </c>
      <c r="DG3" s="87">
        <f>ДДС!DH3</f>
        <v>47907</v>
      </c>
      <c r="DH3" s="87">
        <f>ДДС!DI3</f>
        <v>47938</v>
      </c>
      <c r="DI3" s="87">
        <f>ДДС!DJ3</f>
        <v>47968</v>
      </c>
      <c r="DJ3" s="87">
        <f>ДДС!DK3</f>
        <v>47999</v>
      </c>
      <c r="DK3" s="87">
        <f>ДДС!DL3</f>
        <v>48029</v>
      </c>
      <c r="DL3" s="87">
        <f>ДДС!DM3</f>
        <v>48060</v>
      </c>
      <c r="DM3" s="87">
        <f>ДДС!DN3</f>
        <v>48091</v>
      </c>
      <c r="DN3" s="87">
        <f>ДДС!DO3</f>
        <v>48121</v>
      </c>
      <c r="DO3" s="87">
        <f>ДДС!DP3</f>
        <v>48152</v>
      </c>
      <c r="DP3" s="87">
        <f>ДДС!DQ3</f>
        <v>48182</v>
      </c>
      <c r="DQ3" s="87">
        <f>ДДС!DR3</f>
        <v>48213</v>
      </c>
      <c r="DR3" s="87">
        <f>ДДС!DS3</f>
        <v>48244</v>
      </c>
      <c r="DS3" s="87">
        <f>ДДС!DT3</f>
        <v>48273</v>
      </c>
      <c r="DT3" s="87">
        <f>ДДС!DU3</f>
        <v>48304</v>
      </c>
      <c r="DU3" s="87">
        <f>ДДС!DV3</f>
        <v>48334</v>
      </c>
      <c r="DV3" s="87">
        <f>ДДС!DW3</f>
        <v>48365</v>
      </c>
      <c r="DW3" s="87">
        <f>ДДС!DX3</f>
        <v>48395</v>
      </c>
      <c r="DX3" s="87">
        <f>ДДС!DY3</f>
        <v>48426</v>
      </c>
      <c r="DY3" s="87">
        <f>ДДС!DZ3</f>
        <v>48457</v>
      </c>
      <c r="DZ3" s="87">
        <f>ДДС!EA3</f>
        <v>48487</v>
      </c>
      <c r="EA3" s="87">
        <f>ДДС!EB3</f>
        <v>48518</v>
      </c>
      <c r="EB3" s="87">
        <f>ДДС!EC3</f>
        <v>48548</v>
      </c>
      <c r="EC3" s="87">
        <f>ДДС!ED3</f>
        <v>48579</v>
      </c>
    </row>
    <row r="4" spans="1:133" s="313" customFormat="1" ht="13.5" customHeight="1">
      <c r="A4" s="311" t="s">
        <v>194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2">
        <v>0.25</v>
      </c>
      <c r="Z4" s="312">
        <v>0.35</v>
      </c>
      <c r="AA4" s="312">
        <v>0.45</v>
      </c>
      <c r="AB4" s="312">
        <v>0.6</v>
      </c>
      <c r="AC4" s="312">
        <v>0.75</v>
      </c>
      <c r="AD4" s="312">
        <v>0.8</v>
      </c>
      <c r="AE4" s="312">
        <v>0.8</v>
      </c>
      <c r="AF4" s="312">
        <v>0.8</v>
      </c>
      <c r="AG4" s="312">
        <v>0.8</v>
      </c>
      <c r="AH4" s="312">
        <v>0.8</v>
      </c>
      <c r="AI4" s="312">
        <v>0.8</v>
      </c>
      <c r="AJ4" s="312">
        <v>0.8</v>
      </c>
      <c r="AK4" s="312">
        <v>1</v>
      </c>
      <c r="AL4" s="312">
        <v>1</v>
      </c>
      <c r="AM4" s="312">
        <v>1</v>
      </c>
      <c r="AN4" s="312">
        <v>1</v>
      </c>
      <c r="AO4" s="312">
        <v>1</v>
      </c>
      <c r="AP4" s="312">
        <v>1</v>
      </c>
      <c r="AQ4" s="312">
        <v>1</v>
      </c>
      <c r="AR4" s="312">
        <v>1</v>
      </c>
      <c r="AS4" s="312">
        <v>1</v>
      </c>
      <c r="AT4" s="312">
        <v>1</v>
      </c>
      <c r="AU4" s="312">
        <v>1</v>
      </c>
      <c r="AV4" s="312">
        <v>1</v>
      </c>
      <c r="AW4" s="312">
        <v>1</v>
      </c>
      <c r="AX4" s="312">
        <v>1</v>
      </c>
      <c r="AY4" s="312">
        <v>1</v>
      </c>
      <c r="AZ4" s="312">
        <v>1</v>
      </c>
      <c r="BA4" s="312">
        <v>1</v>
      </c>
      <c r="BB4" s="312">
        <v>1</v>
      </c>
      <c r="BC4" s="312">
        <v>1</v>
      </c>
      <c r="BD4" s="312">
        <v>1</v>
      </c>
      <c r="BE4" s="312">
        <v>1</v>
      </c>
      <c r="BF4" s="312">
        <v>1</v>
      </c>
      <c r="BG4" s="312">
        <v>1</v>
      </c>
      <c r="BH4" s="312">
        <v>1</v>
      </c>
      <c r="BI4" s="312">
        <v>1</v>
      </c>
      <c r="BJ4" s="312">
        <v>1</v>
      </c>
      <c r="BK4" s="312">
        <v>1</v>
      </c>
      <c r="BL4" s="312">
        <v>1</v>
      </c>
      <c r="BM4" s="312">
        <v>1</v>
      </c>
      <c r="BN4" s="312">
        <v>1</v>
      </c>
      <c r="BO4" s="312">
        <v>1</v>
      </c>
      <c r="BP4" s="312">
        <v>1</v>
      </c>
      <c r="BQ4" s="312">
        <v>1</v>
      </c>
      <c r="BR4" s="312">
        <v>1</v>
      </c>
      <c r="BS4" s="312">
        <v>1</v>
      </c>
      <c r="BT4" s="312">
        <v>1</v>
      </c>
      <c r="BU4" s="312">
        <v>1</v>
      </c>
      <c r="BV4" s="312">
        <v>1</v>
      </c>
      <c r="BW4" s="312">
        <v>1</v>
      </c>
      <c r="BX4" s="312">
        <v>1</v>
      </c>
      <c r="BY4" s="312">
        <v>1</v>
      </c>
      <c r="BZ4" s="312">
        <v>1</v>
      </c>
      <c r="CA4" s="312">
        <v>1</v>
      </c>
      <c r="CB4" s="312">
        <v>1</v>
      </c>
      <c r="CC4" s="312">
        <v>1</v>
      </c>
      <c r="CD4" s="312">
        <v>1</v>
      </c>
      <c r="CE4" s="312">
        <v>1</v>
      </c>
      <c r="CF4" s="312">
        <v>1</v>
      </c>
      <c r="CG4" s="312">
        <v>1</v>
      </c>
      <c r="CH4" s="312">
        <v>1</v>
      </c>
      <c r="CI4" s="312">
        <v>1</v>
      </c>
      <c r="CJ4" s="312">
        <v>1</v>
      </c>
      <c r="CK4" s="312">
        <v>1</v>
      </c>
      <c r="CL4" s="312">
        <v>1</v>
      </c>
      <c r="CM4" s="312">
        <v>1</v>
      </c>
      <c r="CN4" s="312">
        <v>1</v>
      </c>
      <c r="CO4" s="312">
        <v>1</v>
      </c>
      <c r="CP4" s="312">
        <v>1</v>
      </c>
      <c r="CQ4" s="312">
        <v>1</v>
      </c>
      <c r="CR4" s="312">
        <v>1</v>
      </c>
      <c r="CS4" s="312">
        <v>1</v>
      </c>
      <c r="CT4" s="312">
        <v>1</v>
      </c>
      <c r="CU4" s="312">
        <v>1</v>
      </c>
      <c r="CV4" s="312">
        <v>1</v>
      </c>
      <c r="CW4" s="312">
        <v>1</v>
      </c>
      <c r="CX4" s="312">
        <v>1</v>
      </c>
      <c r="CY4" s="312">
        <v>1</v>
      </c>
      <c r="CZ4" s="312">
        <v>1</v>
      </c>
      <c r="DA4" s="312">
        <v>1</v>
      </c>
      <c r="DB4" s="312">
        <v>1</v>
      </c>
      <c r="DC4" s="312">
        <v>1</v>
      </c>
      <c r="DD4" s="312">
        <v>1</v>
      </c>
      <c r="DE4" s="312">
        <v>1</v>
      </c>
      <c r="DF4" s="312">
        <v>1</v>
      </c>
      <c r="DG4" s="312">
        <v>1</v>
      </c>
      <c r="DH4" s="312">
        <v>1</v>
      </c>
      <c r="DI4" s="312">
        <v>1</v>
      </c>
      <c r="DJ4" s="312">
        <v>1</v>
      </c>
      <c r="DK4" s="312">
        <v>1</v>
      </c>
      <c r="DL4" s="312">
        <v>1</v>
      </c>
      <c r="DM4" s="312">
        <v>1</v>
      </c>
      <c r="DN4" s="312">
        <v>1</v>
      </c>
      <c r="DO4" s="312">
        <v>1</v>
      </c>
      <c r="DP4" s="312">
        <v>1</v>
      </c>
      <c r="DQ4" s="312">
        <v>1</v>
      </c>
      <c r="DR4" s="312">
        <v>1</v>
      </c>
      <c r="DS4" s="312">
        <v>1</v>
      </c>
      <c r="DT4" s="312">
        <v>1</v>
      </c>
      <c r="DU4" s="312">
        <v>1</v>
      </c>
      <c r="DV4" s="312">
        <v>1</v>
      </c>
      <c r="DW4" s="312">
        <v>1</v>
      </c>
      <c r="DX4" s="312">
        <v>1</v>
      </c>
      <c r="DY4" s="312">
        <v>1</v>
      </c>
      <c r="DZ4" s="312">
        <v>1</v>
      </c>
      <c r="EA4" s="312">
        <v>1</v>
      </c>
      <c r="EB4" s="312">
        <v>1</v>
      </c>
      <c r="EC4" s="312">
        <v>1</v>
      </c>
    </row>
    <row r="5" spans="1:133" s="111" customFormat="1" ht="13.5" customHeight="1">
      <c r="A5" s="51" t="str">
        <f>Исх.данные!A30</f>
        <v>НФС с облицовкой кирпичной кладкой</v>
      </c>
      <c r="B5" s="376">
        <v>0</v>
      </c>
      <c r="C5" s="376">
        <v>0</v>
      </c>
      <c r="D5" s="376">
        <v>0</v>
      </c>
      <c r="E5" s="376">
        <v>0</v>
      </c>
      <c r="F5" s="376">
        <v>0</v>
      </c>
      <c r="G5" s="376">
        <v>0</v>
      </c>
      <c r="H5" s="376">
        <v>0</v>
      </c>
      <c r="I5" s="376">
        <v>0</v>
      </c>
      <c r="J5" s="376">
        <v>0</v>
      </c>
      <c r="K5" s="376">
        <v>0</v>
      </c>
      <c r="L5" s="376">
        <v>0</v>
      </c>
      <c r="M5" s="376">
        <v>0</v>
      </c>
      <c r="N5" s="376">
        <v>0</v>
      </c>
      <c r="O5" s="376">
        <v>0</v>
      </c>
      <c r="P5" s="376">
        <v>0</v>
      </c>
      <c r="Q5" s="376">
        <v>0</v>
      </c>
      <c r="R5" s="376">
        <v>0</v>
      </c>
      <c r="S5" s="376">
        <v>0</v>
      </c>
      <c r="T5" s="376">
        <v>0</v>
      </c>
      <c r="U5" s="376">
        <v>0</v>
      </c>
      <c r="V5" s="376">
        <v>0</v>
      </c>
      <c r="W5" s="376">
        <v>0</v>
      </c>
      <c r="X5" s="376">
        <v>0</v>
      </c>
      <c r="Y5" s="42">
        <f>Исх.данные!N75*'Продажи и Выручка'!$Y$4</f>
        <v>32.300000000000004</v>
      </c>
      <c r="Z5" s="276">
        <f>Исх.данные!C75*'Продажи и Выручка'!$Z$4</f>
        <v>21.28</v>
      </c>
      <c r="AA5" s="276">
        <f>Исх.данные!D75*'Продажи и Выручка'!$AA$4</f>
        <v>54.720000000000006</v>
      </c>
      <c r="AB5" s="276">
        <f>Исх.данные!E75*'Продажи и Выручка'!$AB$4</f>
        <v>136.79999999999998</v>
      </c>
      <c r="AC5" s="276">
        <f>Исх.данные!F75*'Продажи и Выручка'!$AC$4</f>
        <v>239.39999999999998</v>
      </c>
      <c r="AD5" s="276">
        <f>Исх.данные!G75*'Продажи и Выручка'!$AD$4</f>
        <v>243.20000000000002</v>
      </c>
      <c r="AE5" s="276">
        <f>Исх.данные!H75*'Продажи и Выручка'!$AE$4</f>
        <v>291.84000000000003</v>
      </c>
      <c r="AF5" s="276">
        <f>Исх.данные!I75*'Продажи и Выручка'!$AF$4</f>
        <v>340.48</v>
      </c>
      <c r="AG5" s="276">
        <f>Исх.данные!J75*'Продажи и Выручка'!$AG$4</f>
        <v>419.52</v>
      </c>
      <c r="AH5" s="276">
        <f>Исх.данные!K75*'Продажи и Выручка'!$AH$4</f>
        <v>510.72</v>
      </c>
      <c r="AI5" s="276">
        <f>Исх.данные!L75*'Продажи и Выручка'!$AI$4</f>
        <v>583.68000000000006</v>
      </c>
      <c r="AJ5" s="276">
        <f>Исх.данные!M75*'Продажи и Выручка'!$AJ$4</f>
        <v>608</v>
      </c>
      <c r="AK5" s="276">
        <f>Исх.данные!N75*'Продажи и Выручка'!$AK$4</f>
        <v>129.20000000000002</v>
      </c>
      <c r="AL5" s="276">
        <f>Исх.данные!C75*'Продажи и Выручка'!AL4</f>
        <v>60.800000000000004</v>
      </c>
      <c r="AM5" s="276">
        <f>Исх.данные!D75*'Продажи и Выручка'!AM4</f>
        <v>121.60000000000001</v>
      </c>
      <c r="AN5" s="276">
        <f>Исх.данные!E75*'Продажи и Выручка'!AN4</f>
        <v>228</v>
      </c>
      <c r="AO5" s="276">
        <f>Исх.данные!F75*'Продажи и Выручка'!AO4</f>
        <v>319.2</v>
      </c>
      <c r="AP5" s="276">
        <f>Исх.данные!G75*'Продажи и Выручка'!AP4</f>
        <v>304</v>
      </c>
      <c r="AQ5" s="276">
        <f>Исх.данные!H75*'Продажи и Выручка'!AQ4</f>
        <v>364.8</v>
      </c>
      <c r="AR5" s="276">
        <f>Исх.данные!I75*'Продажи и Выручка'!AR4</f>
        <v>425.6</v>
      </c>
      <c r="AS5" s="276">
        <f>Исх.данные!J75*'Продажи и Выручка'!AS4</f>
        <v>524.4</v>
      </c>
      <c r="AT5" s="276">
        <f>Исх.данные!K75*'Продажи и Выручка'!AT4</f>
        <v>638.4</v>
      </c>
      <c r="AU5" s="276">
        <f>Исх.данные!L75*'Продажи и Выручка'!AU4</f>
        <v>729.6</v>
      </c>
      <c r="AV5" s="276">
        <f>Исх.данные!M75*'Продажи и Выручка'!AV4</f>
        <v>760</v>
      </c>
      <c r="AW5" s="276">
        <f>Исх.данные!N75*'Продажи и Выручка'!AW4</f>
        <v>129.20000000000002</v>
      </c>
      <c r="AX5" s="276">
        <f>Исх.данные!C75*'Продажи и Выручка'!AX4</f>
        <v>60.800000000000004</v>
      </c>
      <c r="AY5" s="276">
        <f>Исх.данные!D75*'Продажи и Выручка'!AY4</f>
        <v>121.60000000000001</v>
      </c>
      <c r="AZ5" s="276">
        <f>Исх.данные!E75*'Продажи и Выручка'!AZ4</f>
        <v>228</v>
      </c>
      <c r="BA5" s="276">
        <f>Исх.данные!F75*'Продажи и Выручка'!BA4</f>
        <v>319.2</v>
      </c>
      <c r="BB5" s="276">
        <f>Исх.данные!G75*'Продажи и Выручка'!BB4</f>
        <v>304</v>
      </c>
      <c r="BC5" s="276">
        <f>Исх.данные!H75*'Продажи и Выручка'!BC4</f>
        <v>364.8</v>
      </c>
      <c r="BD5" s="276">
        <f>Исх.данные!I75*'Продажи и Выручка'!BD4</f>
        <v>425.6</v>
      </c>
      <c r="BE5" s="276">
        <f>Исх.данные!J75*'Продажи и Выручка'!BE4</f>
        <v>524.4</v>
      </c>
      <c r="BF5" s="276">
        <f>Исх.данные!K75*'Продажи и Выручка'!BF4</f>
        <v>638.4</v>
      </c>
      <c r="BG5" s="276">
        <f>Исх.данные!L75*'Продажи и Выручка'!BG4</f>
        <v>729.6</v>
      </c>
      <c r="BH5" s="276">
        <f>Исх.данные!M75*'Продажи и Выручка'!BH4</f>
        <v>760</v>
      </c>
      <c r="BI5" s="276">
        <f>Исх.данные!N75*'Продажи и Выручка'!BI4</f>
        <v>129.20000000000002</v>
      </c>
      <c r="BJ5" s="276">
        <f>Исх.данные!C75*'Продажи и Выручка'!BJ4</f>
        <v>60.800000000000004</v>
      </c>
      <c r="BK5" s="276">
        <f>Исх.данные!D75*'Продажи и Выручка'!BK4</f>
        <v>121.60000000000001</v>
      </c>
      <c r="BL5" s="276">
        <f>Исх.данные!E75*'Продажи и Выручка'!BL4</f>
        <v>228</v>
      </c>
      <c r="BM5" s="276">
        <f>Исх.данные!F75*'Продажи и Выручка'!BM4</f>
        <v>319.2</v>
      </c>
      <c r="BN5" s="276">
        <f>Исх.данные!G75*'Продажи и Выручка'!BN4</f>
        <v>304</v>
      </c>
      <c r="BO5" s="276">
        <f>Исх.данные!H75*'Продажи и Выручка'!BO4</f>
        <v>364.8</v>
      </c>
      <c r="BP5" s="276">
        <f>Исх.данные!I75*'Продажи и Выручка'!BP4</f>
        <v>425.6</v>
      </c>
      <c r="BQ5" s="276">
        <f>Исх.данные!J75*'Продажи и Выручка'!BQ4</f>
        <v>524.4</v>
      </c>
      <c r="BR5" s="276">
        <f>Исх.данные!K75*'Продажи и Выручка'!BR4</f>
        <v>638.4</v>
      </c>
      <c r="BS5" s="276">
        <f>Исх.данные!L75*'Продажи и Выручка'!BS4</f>
        <v>729.6</v>
      </c>
      <c r="BT5" s="276">
        <f>Исх.данные!M75*'Продажи и Выручка'!BT4</f>
        <v>760</v>
      </c>
      <c r="BU5" s="276">
        <f>Исх.данные!N75*'Продажи и Выручка'!BU4</f>
        <v>129.20000000000002</v>
      </c>
      <c r="BV5" s="276">
        <f>Исх.данные!C75*'Продажи и Выручка'!BV4</f>
        <v>60.800000000000004</v>
      </c>
      <c r="BW5" s="276">
        <f>Исх.данные!D75*'Продажи и Выручка'!BW4</f>
        <v>121.60000000000001</v>
      </c>
      <c r="BX5" s="276">
        <f>Исх.данные!E75*'Продажи и Выручка'!BX4</f>
        <v>228</v>
      </c>
      <c r="BY5" s="276">
        <f>Исх.данные!F75*'Продажи и Выручка'!BY4</f>
        <v>319.2</v>
      </c>
      <c r="BZ5" s="276">
        <f>Исх.данные!G75*'Продажи и Выручка'!BZ4</f>
        <v>304</v>
      </c>
      <c r="CA5" s="276">
        <f>Исх.данные!H75*'Продажи и Выручка'!CA4</f>
        <v>364.8</v>
      </c>
      <c r="CB5" s="276">
        <f>Исх.данные!I75*'Продажи и Выручка'!CB4</f>
        <v>425.6</v>
      </c>
      <c r="CC5" s="276">
        <f>Исх.данные!J75*'Продажи и Выручка'!CC4</f>
        <v>524.4</v>
      </c>
      <c r="CD5" s="276">
        <f>Исх.данные!K75*'Продажи и Выручка'!CD4</f>
        <v>638.4</v>
      </c>
      <c r="CE5" s="276">
        <f>Исх.данные!L75*'Продажи и Выручка'!CE4</f>
        <v>729.6</v>
      </c>
      <c r="CF5" s="276">
        <f>Исх.данные!M75*'Продажи и Выручка'!CF4</f>
        <v>760</v>
      </c>
      <c r="CG5" s="276">
        <f>Исх.данные!N75*'Продажи и Выручка'!CG4</f>
        <v>129.20000000000002</v>
      </c>
      <c r="CH5" s="276">
        <f>Исх.данные!C75*'Продажи и Выручка'!CH4</f>
        <v>60.800000000000004</v>
      </c>
      <c r="CI5" s="276">
        <f>Исх.данные!D75*'Продажи и Выручка'!CI4</f>
        <v>121.60000000000001</v>
      </c>
      <c r="CJ5" s="276">
        <f>Исх.данные!E75*'Продажи и Выручка'!CJ4</f>
        <v>228</v>
      </c>
      <c r="CK5" s="276">
        <f>Исх.данные!F75*'Продажи и Выручка'!CK4</f>
        <v>319.2</v>
      </c>
      <c r="CL5" s="276">
        <f>Исх.данные!G75*'Продажи и Выручка'!CL4</f>
        <v>304</v>
      </c>
      <c r="CM5" s="276">
        <f>Исх.данные!H75*'Продажи и Выручка'!CM4</f>
        <v>364.8</v>
      </c>
      <c r="CN5" s="276">
        <f>Исх.данные!I75*'Продажи и Выручка'!CN4</f>
        <v>425.6</v>
      </c>
      <c r="CO5" s="276">
        <f>Исх.данные!J75*'Продажи и Выручка'!CO4</f>
        <v>524.4</v>
      </c>
      <c r="CP5" s="276">
        <f>Исх.данные!K75*'Продажи и Выручка'!CP4</f>
        <v>638.4</v>
      </c>
      <c r="CQ5" s="276">
        <f>Исх.данные!L75*'Продажи и Выручка'!CQ4</f>
        <v>729.6</v>
      </c>
      <c r="CR5" s="276">
        <f>Исх.данные!M75*'Продажи и Выручка'!CR4</f>
        <v>760</v>
      </c>
      <c r="CS5" s="276">
        <f>Исх.данные!N75*'Продажи и Выручка'!CS4</f>
        <v>129.20000000000002</v>
      </c>
      <c r="CT5" s="276">
        <f>Исх.данные!C75*'Продажи и Выручка'!CT4</f>
        <v>60.800000000000004</v>
      </c>
      <c r="CU5" s="276">
        <f>Исх.данные!D75*'Продажи и Выручка'!CU4</f>
        <v>121.60000000000001</v>
      </c>
      <c r="CV5" s="276">
        <f>Исх.данные!E75*'Продажи и Выручка'!CV4</f>
        <v>228</v>
      </c>
      <c r="CW5" s="276">
        <f>Исх.данные!F75*'Продажи и Выручка'!CW4</f>
        <v>319.2</v>
      </c>
      <c r="CX5" s="276">
        <f>Исх.данные!G75*'Продажи и Выручка'!CX4</f>
        <v>304</v>
      </c>
      <c r="CY5" s="276">
        <f>Исх.данные!H75*'Продажи и Выручка'!CY4</f>
        <v>364.8</v>
      </c>
      <c r="CZ5" s="276">
        <f>Исх.данные!I75*'Продажи и Выручка'!CZ4</f>
        <v>425.6</v>
      </c>
      <c r="DA5" s="276">
        <f>Исх.данные!J75*'Продажи и Выручка'!DA4</f>
        <v>524.4</v>
      </c>
      <c r="DB5" s="276">
        <f>Исх.данные!K75*'Продажи и Выручка'!DB4</f>
        <v>638.4</v>
      </c>
      <c r="DC5" s="276">
        <f>Исх.данные!L75*'Продажи и Выручка'!DC4</f>
        <v>729.6</v>
      </c>
      <c r="DD5" s="276">
        <f>Исх.данные!M75*'Продажи и Выручка'!DD4</f>
        <v>760</v>
      </c>
      <c r="DE5" s="276">
        <f>Исх.данные!N75*'Продажи и Выручка'!DE4</f>
        <v>129.20000000000002</v>
      </c>
      <c r="DF5" s="276">
        <f>Исх.данные!C75*'Продажи и Выручка'!DF4</f>
        <v>60.800000000000004</v>
      </c>
      <c r="DG5" s="276">
        <f>Исх.данные!D75*'Продажи и Выручка'!DG4</f>
        <v>121.60000000000001</v>
      </c>
      <c r="DH5" s="276">
        <f>Исх.данные!E75*'Продажи и Выручка'!DH4</f>
        <v>228</v>
      </c>
      <c r="DI5" s="276">
        <f>Исх.данные!F75*'Продажи и Выручка'!DI4</f>
        <v>319.2</v>
      </c>
      <c r="DJ5" s="276">
        <f>Исх.данные!G75*'Продажи и Выручка'!DJ4</f>
        <v>304</v>
      </c>
      <c r="DK5" s="276">
        <f>Исх.данные!H75*'Продажи и Выручка'!DK4</f>
        <v>364.8</v>
      </c>
      <c r="DL5" s="276">
        <f>Исх.данные!I75*'Продажи и Выручка'!DL4</f>
        <v>425.6</v>
      </c>
      <c r="DM5" s="276">
        <f>Исх.данные!J75*'Продажи и Выручка'!DM4</f>
        <v>524.4</v>
      </c>
      <c r="DN5" s="276">
        <f>Исх.данные!K75*'Продажи и Выручка'!DN4</f>
        <v>638.4</v>
      </c>
      <c r="DO5" s="276">
        <f>Исх.данные!L75*'Продажи и Выручка'!DO4</f>
        <v>729.6</v>
      </c>
      <c r="DP5" s="276">
        <f>Исх.данные!M75*'Продажи и Выручка'!DP4</f>
        <v>760</v>
      </c>
      <c r="DQ5" s="276">
        <f>Исх.данные!N75*'Продажи и Выручка'!DQ4</f>
        <v>129.20000000000002</v>
      </c>
      <c r="DR5" s="276">
        <f>Исх.данные!C75*'Продажи и Выручка'!DR4</f>
        <v>60.800000000000004</v>
      </c>
      <c r="DS5" s="276">
        <f>Исх.данные!D75*'Продажи и Выручка'!DS4</f>
        <v>121.60000000000001</v>
      </c>
      <c r="DT5" s="276">
        <f>Исх.данные!E75*'Продажи и Выручка'!DT4</f>
        <v>228</v>
      </c>
      <c r="DU5" s="276">
        <f>Исх.данные!F75*'Продажи и Выручка'!DU4</f>
        <v>319.2</v>
      </c>
      <c r="DV5" s="276">
        <f>Исх.данные!G75*'Продажи и Выручка'!DV4</f>
        <v>304</v>
      </c>
      <c r="DW5" s="276">
        <f>Исх.данные!H75*'Продажи и Выручка'!DW4</f>
        <v>364.8</v>
      </c>
      <c r="DX5" s="276">
        <f>Исх.данные!I75*'Продажи и Выручка'!DX4</f>
        <v>425.6</v>
      </c>
      <c r="DY5" s="276">
        <f>Исх.данные!J75*'Продажи и Выручка'!DY4</f>
        <v>524.4</v>
      </c>
      <c r="DZ5" s="276">
        <f>Исх.данные!K75*'Продажи и Выручка'!DZ4</f>
        <v>638.4</v>
      </c>
      <c r="EA5" s="276">
        <f>Исх.данные!L75*'Продажи и Выручка'!EA4</f>
        <v>729.6</v>
      </c>
      <c r="EB5" s="276">
        <f>Исх.данные!M75*'Продажи и Выручка'!EB4</f>
        <v>760</v>
      </c>
      <c r="EC5" s="276">
        <f>Исх.данные!N75*'Продажи и Выручка'!EC4</f>
        <v>129.20000000000002</v>
      </c>
    </row>
    <row r="6" spans="1:133" s="111" customFormat="1" ht="13.5" customHeight="1">
      <c r="A6" s="51" t="str">
        <f>Исх.данные!A31</f>
        <v>НФС с облицовкой СФБ</v>
      </c>
      <c r="B6" s="376">
        <v>0</v>
      </c>
      <c r="C6" s="376">
        <v>0</v>
      </c>
      <c r="D6" s="376">
        <v>0</v>
      </c>
      <c r="E6" s="376">
        <v>0</v>
      </c>
      <c r="F6" s="376">
        <v>0</v>
      </c>
      <c r="G6" s="376">
        <v>0</v>
      </c>
      <c r="H6" s="376">
        <v>0</v>
      </c>
      <c r="I6" s="376">
        <v>0</v>
      </c>
      <c r="J6" s="376">
        <v>0</v>
      </c>
      <c r="K6" s="376">
        <v>0</v>
      </c>
      <c r="L6" s="376">
        <v>0</v>
      </c>
      <c r="M6" s="376">
        <v>0</v>
      </c>
      <c r="N6" s="376">
        <v>0</v>
      </c>
      <c r="O6" s="376">
        <v>0</v>
      </c>
      <c r="P6" s="376">
        <v>0</v>
      </c>
      <c r="Q6" s="376">
        <v>0</v>
      </c>
      <c r="R6" s="376">
        <v>0</v>
      </c>
      <c r="S6" s="376">
        <v>0</v>
      </c>
      <c r="T6" s="376">
        <v>0</v>
      </c>
      <c r="U6" s="376">
        <v>0</v>
      </c>
      <c r="V6" s="376">
        <v>0</v>
      </c>
      <c r="W6" s="376">
        <v>0</v>
      </c>
      <c r="X6" s="376">
        <v>0</v>
      </c>
      <c r="Y6" s="42">
        <f>Исх.данные!N76*'Продажи и Выручка'!$Y$4</f>
        <v>225.25000000000003</v>
      </c>
      <c r="Z6" s="276">
        <f>Исх.данные!C76*'Продажи и Выручка'!$Z$4</f>
        <v>148.39999999999998</v>
      </c>
      <c r="AA6" s="276">
        <f>Исх.данные!D76*'Продажи и Выручка'!$AA$4</f>
        <v>381.6</v>
      </c>
      <c r="AB6" s="276">
        <f>Исх.данные!E76*'Продажи и Выручка'!$AB$4</f>
        <v>954</v>
      </c>
      <c r="AC6" s="276">
        <f>Исх.данные!F76*'Продажи и Выручка'!$AC$4</f>
        <v>1669.5</v>
      </c>
      <c r="AD6" s="276">
        <f>Исх.данные!G76*'Продажи и Выручка'!$AD$4</f>
        <v>1696</v>
      </c>
      <c r="AE6" s="276">
        <f>Исх.данные!H76*'Продажи и Выручка'!$AE$4</f>
        <v>2035.2</v>
      </c>
      <c r="AF6" s="276">
        <f>Исх.данные!I76*'Продажи и Выручка'!$AF$4</f>
        <v>2374.4000000000005</v>
      </c>
      <c r="AG6" s="276">
        <f>Исх.данные!J76*'Продажи и Выручка'!$AG$4</f>
        <v>2925.6</v>
      </c>
      <c r="AH6" s="276">
        <f>Исх.данные!K76*'Продажи и Выручка'!$AH$4</f>
        <v>3561.6000000000004</v>
      </c>
      <c r="AI6" s="276">
        <f>Исх.данные!L76*'Продажи и Выручка'!$AI$4</f>
        <v>4070.4</v>
      </c>
      <c r="AJ6" s="276">
        <f>Исх.данные!M76*'Продажи и Выручка'!$AJ$4</f>
        <v>4240</v>
      </c>
      <c r="AK6" s="276">
        <f>Исх.данные!N76*'Продажи и Выручка'!$AK$4</f>
        <v>901.00000000000011</v>
      </c>
      <c r="AL6" s="276">
        <f>Исх.данные!C76*'Продажи и Выручка'!AL4</f>
        <v>424</v>
      </c>
      <c r="AM6" s="276">
        <f>Исх.данные!D76*'Продажи и Выручка'!AM4</f>
        <v>848</v>
      </c>
      <c r="AN6" s="276">
        <f>Исх.данные!E76*'Продажи и Выручка'!AN4</f>
        <v>1590</v>
      </c>
      <c r="AO6" s="276">
        <f>Исх.данные!F76*'Продажи и Выручка'!AO4</f>
        <v>2226</v>
      </c>
      <c r="AP6" s="276">
        <f>Исх.данные!G76*'Продажи и Выручка'!AP4</f>
        <v>2120</v>
      </c>
      <c r="AQ6" s="276">
        <f>Исх.данные!H76*'Продажи и Выручка'!AQ4</f>
        <v>2544</v>
      </c>
      <c r="AR6" s="276">
        <f>Исх.данные!I76*'Продажи и Выручка'!AR4</f>
        <v>2968.0000000000005</v>
      </c>
      <c r="AS6" s="276">
        <f>Исх.данные!J76*'Продажи и Выручка'!AS4</f>
        <v>3656.9999999999995</v>
      </c>
      <c r="AT6" s="276">
        <f>Исх.данные!K76*'Продажи и Выручка'!AT4</f>
        <v>4452</v>
      </c>
      <c r="AU6" s="276">
        <f>Исх.данные!L76*'Продажи и Выручка'!AU4</f>
        <v>5088</v>
      </c>
      <c r="AV6" s="276">
        <f>Исх.данные!M76*'Продажи и Выручка'!AV4</f>
        <v>5300</v>
      </c>
      <c r="AW6" s="276">
        <f>Исх.данные!N76*'Продажи и Выручка'!AW4</f>
        <v>901.00000000000011</v>
      </c>
      <c r="AX6" s="276">
        <f>Исх.данные!C76*'Продажи и Выручка'!AX4</f>
        <v>424</v>
      </c>
      <c r="AY6" s="276">
        <f>Исх.данные!D76*'Продажи и Выручка'!AY4</f>
        <v>848</v>
      </c>
      <c r="AZ6" s="276">
        <f>Исх.данные!E76*'Продажи и Выручка'!AZ4</f>
        <v>1590</v>
      </c>
      <c r="BA6" s="276">
        <f>Исх.данные!F76*'Продажи и Выручка'!BA4</f>
        <v>2226</v>
      </c>
      <c r="BB6" s="276">
        <f>Исх.данные!G76*'Продажи и Выручка'!BB4</f>
        <v>2120</v>
      </c>
      <c r="BC6" s="276">
        <f>Исх.данные!H76*'Продажи и Выручка'!BC4</f>
        <v>2544</v>
      </c>
      <c r="BD6" s="276">
        <f>Исх.данные!I76*'Продажи и Выручка'!BD4</f>
        <v>2968.0000000000005</v>
      </c>
      <c r="BE6" s="276">
        <f>Исх.данные!J76*'Продажи и Выручка'!BE4</f>
        <v>3656.9999999999995</v>
      </c>
      <c r="BF6" s="276">
        <f>Исх.данные!K76*'Продажи и Выручка'!BF4</f>
        <v>4452</v>
      </c>
      <c r="BG6" s="276">
        <f>Исх.данные!L76*'Продажи и Выручка'!BG4</f>
        <v>5088</v>
      </c>
      <c r="BH6" s="276">
        <f>Исх.данные!M76*'Продажи и Выручка'!BH4</f>
        <v>5300</v>
      </c>
      <c r="BI6" s="276">
        <f>Исх.данные!N76*'Продажи и Выручка'!BI4</f>
        <v>901.00000000000011</v>
      </c>
      <c r="BJ6" s="276">
        <f>Исх.данные!C76*'Продажи и Выручка'!BJ4</f>
        <v>424</v>
      </c>
      <c r="BK6" s="276">
        <f>Исх.данные!D76*'Продажи и Выручка'!BK4</f>
        <v>848</v>
      </c>
      <c r="BL6" s="276">
        <f>Исх.данные!E76*'Продажи и Выручка'!BL4</f>
        <v>1590</v>
      </c>
      <c r="BM6" s="276">
        <f>Исх.данные!F76*'Продажи и Выручка'!BM4</f>
        <v>2226</v>
      </c>
      <c r="BN6" s="276">
        <f>Исх.данные!G76*'Продажи и Выручка'!BN4</f>
        <v>2120</v>
      </c>
      <c r="BO6" s="276">
        <f>Исх.данные!H76*'Продажи и Выручка'!BO4</f>
        <v>2544</v>
      </c>
      <c r="BP6" s="276">
        <f>Исх.данные!I76*'Продажи и Выручка'!BP4</f>
        <v>2968.0000000000005</v>
      </c>
      <c r="BQ6" s="276">
        <f>Исх.данные!J76*'Продажи и Выручка'!BQ4</f>
        <v>3656.9999999999995</v>
      </c>
      <c r="BR6" s="276">
        <f>Исх.данные!K76*'Продажи и Выручка'!BR4</f>
        <v>4452</v>
      </c>
      <c r="BS6" s="276">
        <f>Исх.данные!L76*'Продажи и Выручка'!BS4</f>
        <v>5088</v>
      </c>
      <c r="BT6" s="276">
        <f>Исх.данные!M76*'Продажи и Выручка'!BT4</f>
        <v>5300</v>
      </c>
      <c r="BU6" s="276">
        <f>Исх.данные!N76*'Продажи и Выручка'!BU4</f>
        <v>901.00000000000011</v>
      </c>
      <c r="BV6" s="276">
        <f>Исх.данные!C76*'Продажи и Выручка'!BV4</f>
        <v>424</v>
      </c>
      <c r="BW6" s="276">
        <f>Исх.данные!D76*'Продажи и Выручка'!BW4</f>
        <v>848</v>
      </c>
      <c r="BX6" s="276">
        <f>Исх.данные!E76*'Продажи и Выручка'!BX4</f>
        <v>1590</v>
      </c>
      <c r="BY6" s="276">
        <f>Исх.данные!F76*'Продажи и Выручка'!BY4</f>
        <v>2226</v>
      </c>
      <c r="BZ6" s="276">
        <f>Исх.данные!G76*'Продажи и Выручка'!BZ4</f>
        <v>2120</v>
      </c>
      <c r="CA6" s="276">
        <f>Исх.данные!H76*'Продажи и Выручка'!CA4</f>
        <v>2544</v>
      </c>
      <c r="CB6" s="276">
        <f>Исх.данные!I76*'Продажи и Выручка'!CB4</f>
        <v>2968.0000000000005</v>
      </c>
      <c r="CC6" s="276">
        <f>Исх.данные!J76*'Продажи и Выручка'!CC4</f>
        <v>3656.9999999999995</v>
      </c>
      <c r="CD6" s="276">
        <f>Исх.данные!K76*'Продажи и Выручка'!CD4</f>
        <v>4452</v>
      </c>
      <c r="CE6" s="276">
        <f>Исх.данные!L76*'Продажи и Выручка'!CE4</f>
        <v>5088</v>
      </c>
      <c r="CF6" s="276">
        <f>Исх.данные!M76*'Продажи и Выручка'!CF4</f>
        <v>5300</v>
      </c>
      <c r="CG6" s="276">
        <f>Исх.данные!N76*'Продажи и Выручка'!CG4</f>
        <v>901.00000000000011</v>
      </c>
      <c r="CH6" s="276">
        <f>Исх.данные!C76*'Продажи и Выручка'!CH4</f>
        <v>424</v>
      </c>
      <c r="CI6" s="276">
        <f>Исх.данные!D76*'Продажи и Выручка'!CI4</f>
        <v>848</v>
      </c>
      <c r="CJ6" s="276">
        <f>Исх.данные!E76*'Продажи и Выручка'!CJ4</f>
        <v>1590</v>
      </c>
      <c r="CK6" s="276">
        <f>Исх.данные!F76*'Продажи и Выручка'!CK4</f>
        <v>2226</v>
      </c>
      <c r="CL6" s="276">
        <f>Исх.данные!G76*'Продажи и Выручка'!CL4</f>
        <v>2120</v>
      </c>
      <c r="CM6" s="276">
        <f>Исх.данные!H76*'Продажи и Выручка'!CM4</f>
        <v>2544</v>
      </c>
      <c r="CN6" s="276">
        <f>Исх.данные!I76*'Продажи и Выручка'!CN4</f>
        <v>2968.0000000000005</v>
      </c>
      <c r="CO6" s="276">
        <f>Исх.данные!J76*'Продажи и Выручка'!CO4</f>
        <v>3656.9999999999995</v>
      </c>
      <c r="CP6" s="276">
        <f>Исх.данные!K76*'Продажи и Выручка'!CP4</f>
        <v>4452</v>
      </c>
      <c r="CQ6" s="276">
        <f>Исх.данные!L76*'Продажи и Выручка'!CQ4</f>
        <v>5088</v>
      </c>
      <c r="CR6" s="276">
        <f>Исх.данные!M76*'Продажи и Выручка'!CR4</f>
        <v>5300</v>
      </c>
      <c r="CS6" s="276">
        <f>Исх.данные!N76*'Продажи и Выручка'!CS4</f>
        <v>901.00000000000011</v>
      </c>
      <c r="CT6" s="276">
        <f>Исх.данные!C76*'Продажи и Выручка'!CT4</f>
        <v>424</v>
      </c>
      <c r="CU6" s="276">
        <f>Исх.данные!D76*'Продажи и Выручка'!CU4</f>
        <v>848</v>
      </c>
      <c r="CV6" s="276">
        <f>Исх.данные!E76*'Продажи и Выручка'!CV4</f>
        <v>1590</v>
      </c>
      <c r="CW6" s="276">
        <f>Исх.данные!F76*'Продажи и Выручка'!CW4</f>
        <v>2226</v>
      </c>
      <c r="CX6" s="276">
        <f>Исх.данные!G76*'Продажи и Выручка'!CX4</f>
        <v>2120</v>
      </c>
      <c r="CY6" s="276">
        <f>Исх.данные!H76*'Продажи и Выручка'!CY4</f>
        <v>2544</v>
      </c>
      <c r="CZ6" s="276">
        <f>Исх.данные!I76*'Продажи и Выручка'!CZ4</f>
        <v>2968.0000000000005</v>
      </c>
      <c r="DA6" s="276">
        <f>Исх.данные!J76*'Продажи и Выручка'!DA4</f>
        <v>3656.9999999999995</v>
      </c>
      <c r="DB6" s="276">
        <f>Исх.данные!K76*'Продажи и Выручка'!DB4</f>
        <v>4452</v>
      </c>
      <c r="DC6" s="276">
        <f>Исх.данные!L76*'Продажи и Выручка'!DC4</f>
        <v>5088</v>
      </c>
      <c r="DD6" s="276">
        <f>Исх.данные!M76*'Продажи и Выручка'!DD4</f>
        <v>5300</v>
      </c>
      <c r="DE6" s="276">
        <f>Исх.данные!N76*'Продажи и Выручка'!DE4</f>
        <v>901.00000000000011</v>
      </c>
      <c r="DF6" s="276">
        <f>Исх.данные!C76*'Продажи и Выручка'!DF4</f>
        <v>424</v>
      </c>
      <c r="DG6" s="276">
        <f>Исх.данные!D76*'Продажи и Выручка'!DG4</f>
        <v>848</v>
      </c>
      <c r="DH6" s="276">
        <f>Исх.данные!E76*'Продажи и Выручка'!DH4</f>
        <v>1590</v>
      </c>
      <c r="DI6" s="276">
        <f>Исх.данные!F76*'Продажи и Выручка'!DI4</f>
        <v>2226</v>
      </c>
      <c r="DJ6" s="276">
        <f>Исх.данные!G76*'Продажи и Выручка'!DJ4</f>
        <v>2120</v>
      </c>
      <c r="DK6" s="276">
        <f>Исх.данные!H76*'Продажи и Выручка'!DK4</f>
        <v>2544</v>
      </c>
      <c r="DL6" s="276">
        <f>Исх.данные!I76*'Продажи и Выручка'!DL4</f>
        <v>2968.0000000000005</v>
      </c>
      <c r="DM6" s="276">
        <f>Исх.данные!J76*'Продажи и Выручка'!DM4</f>
        <v>3656.9999999999995</v>
      </c>
      <c r="DN6" s="276">
        <f>Исх.данные!K76*'Продажи и Выручка'!DN4</f>
        <v>4452</v>
      </c>
      <c r="DO6" s="276">
        <f>Исх.данные!L76*'Продажи и Выручка'!DO4</f>
        <v>5088</v>
      </c>
      <c r="DP6" s="276">
        <f>Исх.данные!M76*'Продажи и Выручка'!DP4</f>
        <v>5300</v>
      </c>
      <c r="DQ6" s="276">
        <f>Исх.данные!N76*'Продажи и Выручка'!DQ4</f>
        <v>901.00000000000011</v>
      </c>
      <c r="DR6" s="276">
        <f>Исх.данные!C76*'Продажи и Выручка'!DR4</f>
        <v>424</v>
      </c>
      <c r="DS6" s="276">
        <f>Исх.данные!D76*'Продажи и Выручка'!DS4</f>
        <v>848</v>
      </c>
      <c r="DT6" s="276">
        <f>Исх.данные!E76*'Продажи и Выручка'!DT4</f>
        <v>1590</v>
      </c>
      <c r="DU6" s="276">
        <f>Исх.данные!F76*'Продажи и Выручка'!DU4</f>
        <v>2226</v>
      </c>
      <c r="DV6" s="276">
        <f>Исх.данные!G76*'Продажи и Выручка'!DV4</f>
        <v>2120</v>
      </c>
      <c r="DW6" s="276">
        <f>Исх.данные!H76*'Продажи и Выручка'!DW4</f>
        <v>2544</v>
      </c>
      <c r="DX6" s="276">
        <f>Исх.данные!I76*'Продажи и Выручка'!DX4</f>
        <v>2968.0000000000005</v>
      </c>
      <c r="DY6" s="276">
        <f>Исх.данные!J76*'Продажи и Выручка'!DY4</f>
        <v>3656.9999999999995</v>
      </c>
      <c r="DZ6" s="276">
        <f>Исх.данные!K76*'Продажи и Выручка'!DZ4</f>
        <v>4452</v>
      </c>
      <c r="EA6" s="276">
        <f>Исх.данные!L76*'Продажи и Выручка'!EA4</f>
        <v>5088</v>
      </c>
      <c r="EB6" s="276">
        <f>Исх.данные!M76*'Продажи и Выручка'!EB4</f>
        <v>5300</v>
      </c>
      <c r="EC6" s="276">
        <f>Исх.данные!N76*'Продажи и Выручка'!EC4</f>
        <v>901.00000000000011</v>
      </c>
    </row>
    <row r="7" spans="1:133" s="111" customFormat="1" ht="13.5" customHeight="1">
      <c r="A7" s="51" t="str">
        <f>Исх.данные!A32</f>
        <v>НФС с облицовкой натуральным камнем</v>
      </c>
      <c r="B7" s="376">
        <v>0</v>
      </c>
      <c r="C7" s="376">
        <v>0</v>
      </c>
      <c r="D7" s="376">
        <v>0</v>
      </c>
      <c r="E7" s="376">
        <v>0</v>
      </c>
      <c r="F7" s="376">
        <v>0</v>
      </c>
      <c r="G7" s="376">
        <v>0</v>
      </c>
      <c r="H7" s="376">
        <v>0</v>
      </c>
      <c r="I7" s="376">
        <v>0</v>
      </c>
      <c r="J7" s="376">
        <v>0</v>
      </c>
      <c r="K7" s="376">
        <v>0</v>
      </c>
      <c r="L7" s="376">
        <v>0</v>
      </c>
      <c r="M7" s="376">
        <v>0</v>
      </c>
      <c r="N7" s="376">
        <v>0</v>
      </c>
      <c r="O7" s="376">
        <v>0</v>
      </c>
      <c r="P7" s="376">
        <v>0</v>
      </c>
      <c r="Q7" s="376">
        <v>0</v>
      </c>
      <c r="R7" s="376">
        <v>0</v>
      </c>
      <c r="S7" s="376">
        <v>0</v>
      </c>
      <c r="T7" s="376">
        <v>0</v>
      </c>
      <c r="U7" s="376">
        <v>0</v>
      </c>
      <c r="V7" s="376">
        <v>0</v>
      </c>
      <c r="W7" s="376">
        <v>0</v>
      </c>
      <c r="X7" s="376">
        <v>0</v>
      </c>
      <c r="Y7" s="42">
        <f>Исх.данные!N77*'Продажи и Выручка'!$Y$4</f>
        <v>255.00000000000003</v>
      </c>
      <c r="Z7" s="276">
        <f>Исх.данные!C77*'Продажи и Выручка'!$Z$4</f>
        <v>168</v>
      </c>
      <c r="AA7" s="276">
        <f>Исх.данные!D77*'Продажи и Выручка'!$AA$4</f>
        <v>432</v>
      </c>
      <c r="AB7" s="276">
        <f>Исх.данные!E77*'Продажи и Выручка'!$AB$4</f>
        <v>1080</v>
      </c>
      <c r="AC7" s="276">
        <f>Исх.данные!F77*'Продажи и Выручка'!$AC$4</f>
        <v>1890</v>
      </c>
      <c r="AD7" s="276">
        <f>Исх.данные!G77*'Продажи и Выручка'!$AD$4</f>
        <v>1920</v>
      </c>
      <c r="AE7" s="276">
        <f>Исх.данные!H77*'Продажи и Выручка'!$AE$4</f>
        <v>2304</v>
      </c>
      <c r="AF7" s="276">
        <f>Исх.данные!I77*'Продажи и Выручка'!$AF$4</f>
        <v>2688.0000000000005</v>
      </c>
      <c r="AG7" s="276">
        <f>Исх.данные!J77*'Продажи и Выручка'!$AG$4</f>
        <v>3312</v>
      </c>
      <c r="AH7" s="276">
        <f>Исх.данные!K77*'Продажи и Выручка'!$AH$4</f>
        <v>4032</v>
      </c>
      <c r="AI7" s="276">
        <f>Исх.данные!L77*'Продажи и Выручка'!$AI$4</f>
        <v>4608</v>
      </c>
      <c r="AJ7" s="276">
        <f>Исх.данные!M77*'Продажи и Выручка'!$AJ$4</f>
        <v>4800</v>
      </c>
      <c r="AK7" s="276">
        <f>Исх.данные!N77*'Продажи и Выручка'!$AK$4</f>
        <v>1020.0000000000001</v>
      </c>
      <c r="AL7" s="276">
        <f>Исх.данные!C77*'Продажи и Выручка'!AL4</f>
        <v>480</v>
      </c>
      <c r="AM7" s="276">
        <f>Исх.данные!D77*'Продажи и Выручка'!AM4</f>
        <v>960</v>
      </c>
      <c r="AN7" s="276">
        <f>Исх.данные!E77*'Продажи и Выручка'!AN4</f>
        <v>1800</v>
      </c>
      <c r="AO7" s="276">
        <f>Исх.данные!F77*'Продажи и Выручка'!AO4</f>
        <v>2520</v>
      </c>
      <c r="AP7" s="276">
        <f>Исх.данные!G77*'Продажи и Выручка'!AP4</f>
        <v>2400</v>
      </c>
      <c r="AQ7" s="276">
        <f>Исх.данные!H77*'Продажи и Выручка'!AQ4</f>
        <v>2880</v>
      </c>
      <c r="AR7" s="276">
        <f>Исх.данные!I77*'Продажи и Выручка'!AR4</f>
        <v>3360.0000000000005</v>
      </c>
      <c r="AS7" s="276">
        <f>Исх.данные!J77*'Продажи и Выручка'!AS4</f>
        <v>4140</v>
      </c>
      <c r="AT7" s="276">
        <f>Исх.данные!K77*'Продажи и Выручка'!AT4</f>
        <v>5040</v>
      </c>
      <c r="AU7" s="276">
        <f>Исх.данные!L77*'Продажи и Выручка'!AU4</f>
        <v>5760</v>
      </c>
      <c r="AV7" s="276">
        <f>Исх.данные!M77*'Продажи и Выручка'!AV4</f>
        <v>6000</v>
      </c>
      <c r="AW7" s="276">
        <f>Исх.данные!N77*'Продажи и Выручка'!AW4</f>
        <v>1020.0000000000001</v>
      </c>
      <c r="AX7" s="276">
        <f>Исх.данные!C77*'Продажи и Выручка'!AX4</f>
        <v>480</v>
      </c>
      <c r="AY7" s="276">
        <f>Исх.данные!D77*'Продажи и Выручка'!AY4</f>
        <v>960</v>
      </c>
      <c r="AZ7" s="276">
        <f>Исх.данные!E77*'Продажи и Выручка'!AZ4</f>
        <v>1800</v>
      </c>
      <c r="BA7" s="276">
        <f>Исх.данные!F77*'Продажи и Выручка'!BA4</f>
        <v>2520</v>
      </c>
      <c r="BB7" s="276">
        <f>Исх.данные!G77*'Продажи и Выручка'!BB4</f>
        <v>2400</v>
      </c>
      <c r="BC7" s="276">
        <f>Исх.данные!H77*'Продажи и Выручка'!BC4</f>
        <v>2880</v>
      </c>
      <c r="BD7" s="276">
        <f>Исх.данные!I77*'Продажи и Выручка'!BD4</f>
        <v>3360.0000000000005</v>
      </c>
      <c r="BE7" s="276">
        <f>Исх.данные!J77*'Продажи и Выручка'!BE4</f>
        <v>4140</v>
      </c>
      <c r="BF7" s="276">
        <f>Исх.данные!K77*'Продажи и Выручка'!BF4</f>
        <v>5040</v>
      </c>
      <c r="BG7" s="276">
        <f>Исх.данные!L77*'Продажи и Выручка'!BG4</f>
        <v>5760</v>
      </c>
      <c r="BH7" s="276">
        <f>Исх.данные!M77*'Продажи и Выручка'!BH4</f>
        <v>6000</v>
      </c>
      <c r="BI7" s="276">
        <f>Исх.данные!N77*'Продажи и Выручка'!BI4</f>
        <v>1020.0000000000001</v>
      </c>
      <c r="BJ7" s="276">
        <f>Исх.данные!C77*'Продажи и Выручка'!BJ4</f>
        <v>480</v>
      </c>
      <c r="BK7" s="276">
        <f>Исх.данные!D77*'Продажи и Выручка'!BK4</f>
        <v>960</v>
      </c>
      <c r="BL7" s="276">
        <f>Исх.данные!E77*'Продажи и Выручка'!BL4</f>
        <v>1800</v>
      </c>
      <c r="BM7" s="276">
        <f>Исх.данные!F77*'Продажи и Выручка'!BM4</f>
        <v>2520</v>
      </c>
      <c r="BN7" s="276">
        <f>Исх.данные!G77*'Продажи и Выручка'!BN4</f>
        <v>2400</v>
      </c>
      <c r="BO7" s="276">
        <f>Исх.данные!H77*'Продажи и Выручка'!BO4</f>
        <v>2880</v>
      </c>
      <c r="BP7" s="276">
        <f>Исх.данные!I77*'Продажи и Выручка'!BP4</f>
        <v>3360.0000000000005</v>
      </c>
      <c r="BQ7" s="276">
        <f>Исх.данные!J77*'Продажи и Выручка'!BQ4</f>
        <v>4140</v>
      </c>
      <c r="BR7" s="276">
        <f>Исх.данные!K77*'Продажи и Выручка'!BR4</f>
        <v>5040</v>
      </c>
      <c r="BS7" s="276">
        <f>Исх.данные!L77*'Продажи и Выручка'!BS4</f>
        <v>5760</v>
      </c>
      <c r="BT7" s="276">
        <f>Исх.данные!M77*'Продажи и Выручка'!BT4</f>
        <v>6000</v>
      </c>
      <c r="BU7" s="276">
        <f>Исх.данные!N77*'Продажи и Выручка'!BU4</f>
        <v>1020.0000000000001</v>
      </c>
      <c r="BV7" s="276">
        <f>Исх.данные!C77*'Продажи и Выручка'!BV4</f>
        <v>480</v>
      </c>
      <c r="BW7" s="276">
        <f>Исх.данные!D77*'Продажи и Выручка'!BW4</f>
        <v>960</v>
      </c>
      <c r="BX7" s="276">
        <f>Исх.данные!E77*'Продажи и Выручка'!BX4</f>
        <v>1800</v>
      </c>
      <c r="BY7" s="276">
        <f>Исх.данные!F77*'Продажи и Выручка'!BY4</f>
        <v>2520</v>
      </c>
      <c r="BZ7" s="276">
        <f>Исх.данные!G77*'Продажи и Выручка'!BZ4</f>
        <v>2400</v>
      </c>
      <c r="CA7" s="276">
        <f>Исх.данные!H77*'Продажи и Выручка'!CA4</f>
        <v>2880</v>
      </c>
      <c r="CB7" s="276">
        <f>Исх.данные!I77*'Продажи и Выручка'!CB4</f>
        <v>3360.0000000000005</v>
      </c>
      <c r="CC7" s="276">
        <f>Исх.данные!J77*'Продажи и Выручка'!CC4</f>
        <v>4140</v>
      </c>
      <c r="CD7" s="276">
        <f>Исх.данные!K77*'Продажи и Выручка'!CD4</f>
        <v>5040</v>
      </c>
      <c r="CE7" s="276">
        <f>Исх.данные!L77*'Продажи и Выручка'!CE4</f>
        <v>5760</v>
      </c>
      <c r="CF7" s="276">
        <f>Исх.данные!M77*'Продажи и Выручка'!CF4</f>
        <v>6000</v>
      </c>
      <c r="CG7" s="276">
        <f>Исх.данные!N77*'Продажи и Выручка'!CG4</f>
        <v>1020.0000000000001</v>
      </c>
      <c r="CH7" s="276">
        <f>Исх.данные!C77*'Продажи и Выручка'!CH4</f>
        <v>480</v>
      </c>
      <c r="CI7" s="276">
        <f>Исх.данные!D77*'Продажи и Выручка'!CI4</f>
        <v>960</v>
      </c>
      <c r="CJ7" s="276">
        <f>Исх.данные!E77*'Продажи и Выручка'!CJ4</f>
        <v>1800</v>
      </c>
      <c r="CK7" s="276">
        <f>Исх.данные!F77*'Продажи и Выручка'!CK4</f>
        <v>2520</v>
      </c>
      <c r="CL7" s="276">
        <f>Исх.данные!G77*'Продажи и Выручка'!CL4</f>
        <v>2400</v>
      </c>
      <c r="CM7" s="276">
        <f>Исх.данные!H77*'Продажи и Выручка'!CM4</f>
        <v>2880</v>
      </c>
      <c r="CN7" s="276">
        <f>Исх.данные!I77*'Продажи и Выручка'!CN4</f>
        <v>3360.0000000000005</v>
      </c>
      <c r="CO7" s="276">
        <f>Исх.данные!J77*'Продажи и Выручка'!CO4</f>
        <v>4140</v>
      </c>
      <c r="CP7" s="276">
        <f>Исх.данные!K77*'Продажи и Выручка'!CP4</f>
        <v>5040</v>
      </c>
      <c r="CQ7" s="276">
        <f>Исх.данные!L77*'Продажи и Выручка'!CQ4</f>
        <v>5760</v>
      </c>
      <c r="CR7" s="276">
        <f>Исх.данные!M77*'Продажи и Выручка'!CR4</f>
        <v>6000</v>
      </c>
      <c r="CS7" s="276">
        <f>Исх.данные!N77*'Продажи и Выручка'!CS4</f>
        <v>1020.0000000000001</v>
      </c>
      <c r="CT7" s="276">
        <f>Исх.данные!C77*'Продажи и Выручка'!CT4</f>
        <v>480</v>
      </c>
      <c r="CU7" s="276">
        <f>Исх.данные!D77*'Продажи и Выручка'!CU4</f>
        <v>960</v>
      </c>
      <c r="CV7" s="276">
        <f>Исх.данные!E77*'Продажи и Выручка'!CV4</f>
        <v>1800</v>
      </c>
      <c r="CW7" s="276">
        <f>Исх.данные!F77*'Продажи и Выручка'!CW4</f>
        <v>2520</v>
      </c>
      <c r="CX7" s="276">
        <f>Исх.данные!G77*'Продажи и Выручка'!CX4</f>
        <v>2400</v>
      </c>
      <c r="CY7" s="276">
        <f>Исх.данные!H77*'Продажи и Выручка'!CY4</f>
        <v>2880</v>
      </c>
      <c r="CZ7" s="276">
        <f>Исх.данные!I77*'Продажи и Выручка'!CZ4</f>
        <v>3360.0000000000005</v>
      </c>
      <c r="DA7" s="276">
        <f>Исх.данные!J77*'Продажи и Выручка'!DA4</f>
        <v>4140</v>
      </c>
      <c r="DB7" s="276">
        <f>Исх.данные!K77*'Продажи и Выручка'!DB4</f>
        <v>5040</v>
      </c>
      <c r="DC7" s="276">
        <f>Исх.данные!L77*'Продажи и Выручка'!DC4</f>
        <v>5760</v>
      </c>
      <c r="DD7" s="276">
        <f>Исх.данные!M77*'Продажи и Выручка'!DD4</f>
        <v>6000</v>
      </c>
      <c r="DE7" s="276">
        <f>Исх.данные!N77*'Продажи и Выручка'!DE4</f>
        <v>1020.0000000000001</v>
      </c>
      <c r="DF7" s="276">
        <f>Исх.данные!C77*'Продажи и Выручка'!DF4</f>
        <v>480</v>
      </c>
      <c r="DG7" s="276">
        <f>Исх.данные!D77*'Продажи и Выручка'!DG4</f>
        <v>960</v>
      </c>
      <c r="DH7" s="276">
        <f>Исх.данные!E77*'Продажи и Выручка'!DH4</f>
        <v>1800</v>
      </c>
      <c r="DI7" s="276">
        <f>Исх.данные!F77*'Продажи и Выручка'!DI4</f>
        <v>2520</v>
      </c>
      <c r="DJ7" s="276">
        <f>Исх.данные!G77*'Продажи и Выручка'!DJ4</f>
        <v>2400</v>
      </c>
      <c r="DK7" s="276">
        <f>Исх.данные!H77*'Продажи и Выручка'!DK4</f>
        <v>2880</v>
      </c>
      <c r="DL7" s="276">
        <f>Исх.данные!I77*'Продажи и Выручка'!DL4</f>
        <v>3360.0000000000005</v>
      </c>
      <c r="DM7" s="276">
        <f>Исх.данные!J77*'Продажи и Выручка'!DM4</f>
        <v>4140</v>
      </c>
      <c r="DN7" s="276">
        <f>Исх.данные!K77*'Продажи и Выручка'!DN4</f>
        <v>5040</v>
      </c>
      <c r="DO7" s="276">
        <f>Исх.данные!L77*'Продажи и Выручка'!DO4</f>
        <v>5760</v>
      </c>
      <c r="DP7" s="276">
        <f>Исх.данные!M77*'Продажи и Выручка'!DP4</f>
        <v>6000</v>
      </c>
      <c r="DQ7" s="276">
        <f>Исх.данные!N77*'Продажи и Выручка'!DQ4</f>
        <v>1020.0000000000001</v>
      </c>
      <c r="DR7" s="276">
        <f>Исх.данные!C77*'Продажи и Выручка'!DR4</f>
        <v>480</v>
      </c>
      <c r="DS7" s="276">
        <f>Исх.данные!D77*'Продажи и Выручка'!DS4</f>
        <v>960</v>
      </c>
      <c r="DT7" s="276">
        <f>Исх.данные!E77*'Продажи и Выручка'!DT4</f>
        <v>1800</v>
      </c>
      <c r="DU7" s="276">
        <f>Исх.данные!F77*'Продажи и Выручка'!DU4</f>
        <v>2520</v>
      </c>
      <c r="DV7" s="276">
        <f>Исх.данные!G77*'Продажи и Выручка'!DV4</f>
        <v>2400</v>
      </c>
      <c r="DW7" s="276">
        <f>Исх.данные!H77*'Продажи и Выручка'!DW4</f>
        <v>2880</v>
      </c>
      <c r="DX7" s="276">
        <f>Исх.данные!I77*'Продажи и Выручка'!DX4</f>
        <v>3360.0000000000005</v>
      </c>
      <c r="DY7" s="276">
        <f>Исх.данные!J77*'Продажи и Выручка'!DY4</f>
        <v>4140</v>
      </c>
      <c r="DZ7" s="276">
        <f>Исх.данные!K77*'Продажи и Выручка'!DZ4</f>
        <v>5040</v>
      </c>
      <c r="EA7" s="276">
        <f>Исх.данные!L77*'Продажи и Выручка'!EA4</f>
        <v>5760</v>
      </c>
      <c r="EB7" s="276">
        <f>Исх.данные!M77*'Продажи и Выручка'!EB4</f>
        <v>6000</v>
      </c>
      <c r="EC7" s="276">
        <f>Исх.данные!N77*'Продажи и Выручка'!EC4</f>
        <v>1020.0000000000001</v>
      </c>
    </row>
    <row r="8" spans="1:133" s="111" customFormat="1" ht="13.5" customHeight="1">
      <c r="A8" s="51" t="str">
        <f>Исх.данные!A33</f>
        <v>НФС с облицовкой клинкерной плиткой</v>
      </c>
      <c r="B8" s="376">
        <v>0</v>
      </c>
      <c r="C8" s="376">
        <v>0</v>
      </c>
      <c r="D8" s="376">
        <v>0</v>
      </c>
      <c r="E8" s="376">
        <v>0</v>
      </c>
      <c r="F8" s="376">
        <v>0</v>
      </c>
      <c r="G8" s="376">
        <v>0</v>
      </c>
      <c r="H8" s="376">
        <v>0</v>
      </c>
      <c r="I8" s="376">
        <v>0</v>
      </c>
      <c r="J8" s="376">
        <v>0</v>
      </c>
      <c r="K8" s="376">
        <v>0</v>
      </c>
      <c r="L8" s="376">
        <v>0</v>
      </c>
      <c r="M8" s="376">
        <v>0</v>
      </c>
      <c r="N8" s="376">
        <v>0</v>
      </c>
      <c r="O8" s="376">
        <v>0</v>
      </c>
      <c r="P8" s="376">
        <v>0</v>
      </c>
      <c r="Q8" s="376">
        <v>0</v>
      </c>
      <c r="R8" s="376">
        <v>0</v>
      </c>
      <c r="S8" s="376">
        <v>0</v>
      </c>
      <c r="T8" s="376">
        <v>0</v>
      </c>
      <c r="U8" s="376">
        <v>0</v>
      </c>
      <c r="V8" s="376">
        <v>0</v>
      </c>
      <c r="W8" s="376">
        <v>0</v>
      </c>
      <c r="X8" s="376">
        <v>0</v>
      </c>
      <c r="Y8" s="42">
        <f>Исх.данные!N78*'Продажи и Выручка'!$Y$4</f>
        <v>93.5</v>
      </c>
      <c r="Z8" s="276">
        <f>Исх.данные!C78*'Продажи и Выручка'!$Z$4</f>
        <v>61.599999999999994</v>
      </c>
      <c r="AA8" s="276">
        <f>Исх.данные!D78*'Продажи и Выручка'!$AA$4</f>
        <v>158.4</v>
      </c>
      <c r="AB8" s="276">
        <f>Исх.данные!E78*'Продажи и Выручка'!$AB$4</f>
        <v>396</v>
      </c>
      <c r="AC8" s="276">
        <f>Исх.данные!F78*'Продажи и Выручка'!$AC$4</f>
        <v>693</v>
      </c>
      <c r="AD8" s="276">
        <f>Исх.данные!G78*'Продажи и Выручка'!$AD$4</f>
        <v>704</v>
      </c>
      <c r="AE8" s="276">
        <f>Исх.данные!H78*'Продажи и Выручка'!$AE$4</f>
        <v>844.80000000000007</v>
      </c>
      <c r="AF8" s="276">
        <f>Исх.данные!I78*'Продажи и Выручка'!$AF$4</f>
        <v>985.60000000000025</v>
      </c>
      <c r="AG8" s="276">
        <f>Исх.данные!J78*'Продажи и Выручка'!$AG$4</f>
        <v>1214.3999999999999</v>
      </c>
      <c r="AH8" s="276">
        <f>Исх.данные!K78*'Продажи и Выручка'!$AH$4</f>
        <v>1478.4</v>
      </c>
      <c r="AI8" s="276">
        <f>Исх.данные!L78*'Продажи и Выручка'!$AI$4</f>
        <v>1689.6000000000001</v>
      </c>
      <c r="AJ8" s="276">
        <f>Исх.данные!M78*'Продажи и Выручка'!$AJ$4</f>
        <v>1760</v>
      </c>
      <c r="AK8" s="276">
        <f>Исх.данные!N78*'Продажи и Выручка'!$AK$4</f>
        <v>374</v>
      </c>
      <c r="AL8" s="276">
        <f>Исх.данные!C78*'Продажи и Выручка'!AL4</f>
        <v>176</v>
      </c>
      <c r="AM8" s="276">
        <f>Исх.данные!D78*'Продажи и Выручка'!AM4</f>
        <v>352</v>
      </c>
      <c r="AN8" s="276">
        <f>Исх.данные!E78*'Продажи и Выручка'!AN4</f>
        <v>660</v>
      </c>
      <c r="AO8" s="276">
        <f>Исх.данные!F78*'Продажи и Выручка'!AO4</f>
        <v>924</v>
      </c>
      <c r="AP8" s="276">
        <f>Исх.данные!G78*'Продажи и Выручка'!AP4</f>
        <v>880</v>
      </c>
      <c r="AQ8" s="276">
        <f>Исх.данные!H78*'Продажи и Выручка'!AQ4</f>
        <v>1056</v>
      </c>
      <c r="AR8" s="276">
        <f>Исх.данные!I78*'Продажи и Выручка'!AR4</f>
        <v>1232.0000000000002</v>
      </c>
      <c r="AS8" s="276">
        <f>Исх.данные!J78*'Продажи и Выручка'!AS4</f>
        <v>1517.9999999999998</v>
      </c>
      <c r="AT8" s="276">
        <f>Исх.данные!K78*'Продажи и Выручка'!AT4</f>
        <v>1848</v>
      </c>
      <c r="AU8" s="276">
        <f>Исх.данные!L78*'Продажи и Выручка'!AU4</f>
        <v>2112</v>
      </c>
      <c r="AV8" s="276">
        <f>Исх.данные!M78*'Продажи и Выручка'!AV4</f>
        <v>2200</v>
      </c>
      <c r="AW8" s="276">
        <f>Исх.данные!N78*'Продажи и Выручка'!AW4</f>
        <v>374</v>
      </c>
      <c r="AX8" s="276">
        <f>Исх.данные!C78*'Продажи и Выручка'!AX4</f>
        <v>176</v>
      </c>
      <c r="AY8" s="276">
        <f>Исх.данные!D78*'Продажи и Выручка'!AY4</f>
        <v>352</v>
      </c>
      <c r="AZ8" s="276">
        <f>Исх.данные!E78*'Продажи и Выручка'!AZ4</f>
        <v>660</v>
      </c>
      <c r="BA8" s="276">
        <f>Исх.данные!F78*'Продажи и Выручка'!BA4</f>
        <v>924</v>
      </c>
      <c r="BB8" s="276">
        <f>Исх.данные!G78*'Продажи и Выручка'!BB4</f>
        <v>880</v>
      </c>
      <c r="BC8" s="276">
        <f>Исх.данные!H78*'Продажи и Выручка'!BC4</f>
        <v>1056</v>
      </c>
      <c r="BD8" s="276">
        <f>Исх.данные!I78*'Продажи и Выручка'!BD4</f>
        <v>1232.0000000000002</v>
      </c>
      <c r="BE8" s="276">
        <f>Исх.данные!J78*'Продажи и Выручка'!BE4</f>
        <v>1517.9999999999998</v>
      </c>
      <c r="BF8" s="276">
        <f>Исх.данные!K78*'Продажи и Выручка'!BF4</f>
        <v>1848</v>
      </c>
      <c r="BG8" s="276">
        <f>Исх.данные!L78*'Продажи и Выручка'!BG4</f>
        <v>2112</v>
      </c>
      <c r="BH8" s="276">
        <f>Исх.данные!M78*'Продажи и Выручка'!BH4</f>
        <v>2200</v>
      </c>
      <c r="BI8" s="276">
        <f>Исх.данные!N78*'Продажи и Выручка'!BI4</f>
        <v>374</v>
      </c>
      <c r="BJ8" s="276">
        <f>Исх.данные!C78*'Продажи и Выручка'!BJ4</f>
        <v>176</v>
      </c>
      <c r="BK8" s="276">
        <f>Исх.данные!D78*'Продажи и Выручка'!BK4</f>
        <v>352</v>
      </c>
      <c r="BL8" s="276">
        <f>Исх.данные!E78*'Продажи и Выручка'!BL4</f>
        <v>660</v>
      </c>
      <c r="BM8" s="276">
        <f>Исх.данные!F78*'Продажи и Выручка'!BM4</f>
        <v>924</v>
      </c>
      <c r="BN8" s="276">
        <f>Исх.данные!G78*'Продажи и Выручка'!BN4</f>
        <v>880</v>
      </c>
      <c r="BO8" s="276">
        <f>Исх.данные!H78*'Продажи и Выручка'!BO4</f>
        <v>1056</v>
      </c>
      <c r="BP8" s="276">
        <f>Исх.данные!I78*'Продажи и Выручка'!BP4</f>
        <v>1232.0000000000002</v>
      </c>
      <c r="BQ8" s="276">
        <f>Исх.данные!J78*'Продажи и Выручка'!BQ4</f>
        <v>1517.9999999999998</v>
      </c>
      <c r="BR8" s="276">
        <f>Исх.данные!K78*'Продажи и Выручка'!BR4</f>
        <v>1848</v>
      </c>
      <c r="BS8" s="276">
        <f>Исх.данные!L78*'Продажи и Выручка'!BS4</f>
        <v>2112</v>
      </c>
      <c r="BT8" s="276">
        <f>Исх.данные!M78*'Продажи и Выручка'!BT4</f>
        <v>2200</v>
      </c>
      <c r="BU8" s="276">
        <f>Исх.данные!N78*'Продажи и Выручка'!BU4</f>
        <v>374</v>
      </c>
      <c r="BV8" s="276">
        <f>Исх.данные!C78*'Продажи и Выручка'!BV4</f>
        <v>176</v>
      </c>
      <c r="BW8" s="276">
        <f>Исх.данные!D78*'Продажи и Выручка'!BW4</f>
        <v>352</v>
      </c>
      <c r="BX8" s="276">
        <f>Исх.данные!E78*'Продажи и Выручка'!BX4</f>
        <v>660</v>
      </c>
      <c r="BY8" s="276">
        <f>Исх.данные!F78*'Продажи и Выручка'!BY4</f>
        <v>924</v>
      </c>
      <c r="BZ8" s="276">
        <f>Исх.данные!G78*'Продажи и Выручка'!BZ4</f>
        <v>880</v>
      </c>
      <c r="CA8" s="276">
        <f>Исх.данные!H78*'Продажи и Выручка'!CA4</f>
        <v>1056</v>
      </c>
      <c r="CB8" s="276">
        <f>Исх.данные!I78*'Продажи и Выручка'!CB4</f>
        <v>1232.0000000000002</v>
      </c>
      <c r="CC8" s="276">
        <f>Исх.данные!J78*'Продажи и Выручка'!CC4</f>
        <v>1517.9999999999998</v>
      </c>
      <c r="CD8" s="276">
        <f>Исх.данные!K78*'Продажи и Выручка'!CD4</f>
        <v>1848</v>
      </c>
      <c r="CE8" s="276">
        <f>Исх.данные!L78*'Продажи и Выручка'!CE4</f>
        <v>2112</v>
      </c>
      <c r="CF8" s="276">
        <f>Исх.данные!M78*'Продажи и Выручка'!CF4</f>
        <v>2200</v>
      </c>
      <c r="CG8" s="276">
        <f>Исх.данные!N78*'Продажи и Выручка'!CG4</f>
        <v>374</v>
      </c>
      <c r="CH8" s="276">
        <f>Исх.данные!C78*'Продажи и Выручка'!CH4</f>
        <v>176</v>
      </c>
      <c r="CI8" s="276">
        <f>Исх.данные!D78*'Продажи и Выручка'!CI4</f>
        <v>352</v>
      </c>
      <c r="CJ8" s="276">
        <f>Исх.данные!E78*'Продажи и Выручка'!CJ4</f>
        <v>660</v>
      </c>
      <c r="CK8" s="276">
        <f>Исх.данные!F78*'Продажи и Выручка'!CK4</f>
        <v>924</v>
      </c>
      <c r="CL8" s="276">
        <f>Исх.данные!G78*'Продажи и Выручка'!CL4</f>
        <v>880</v>
      </c>
      <c r="CM8" s="276">
        <f>Исх.данные!H78*'Продажи и Выручка'!CM4</f>
        <v>1056</v>
      </c>
      <c r="CN8" s="276">
        <f>Исх.данные!I78*'Продажи и Выручка'!CN4</f>
        <v>1232.0000000000002</v>
      </c>
      <c r="CO8" s="276">
        <f>Исх.данные!J78*'Продажи и Выручка'!CO4</f>
        <v>1517.9999999999998</v>
      </c>
      <c r="CP8" s="276">
        <f>Исх.данные!K78*'Продажи и Выручка'!CP4</f>
        <v>1848</v>
      </c>
      <c r="CQ8" s="276">
        <f>Исх.данные!L78*'Продажи и Выручка'!CQ4</f>
        <v>2112</v>
      </c>
      <c r="CR8" s="276">
        <f>Исх.данные!M78*'Продажи и Выручка'!CR4</f>
        <v>2200</v>
      </c>
      <c r="CS8" s="276">
        <f>Исх.данные!N78*'Продажи и Выручка'!CS4</f>
        <v>374</v>
      </c>
      <c r="CT8" s="276">
        <f>Исх.данные!C78*'Продажи и Выручка'!CT4</f>
        <v>176</v>
      </c>
      <c r="CU8" s="276">
        <f>Исх.данные!D78*'Продажи и Выручка'!CU4</f>
        <v>352</v>
      </c>
      <c r="CV8" s="276">
        <f>Исх.данные!E78*'Продажи и Выручка'!CV4</f>
        <v>660</v>
      </c>
      <c r="CW8" s="276">
        <f>Исх.данные!F78*'Продажи и Выручка'!CW4</f>
        <v>924</v>
      </c>
      <c r="CX8" s="276">
        <f>Исх.данные!G78*'Продажи и Выручка'!CX4</f>
        <v>880</v>
      </c>
      <c r="CY8" s="276">
        <f>Исх.данные!H78*'Продажи и Выручка'!CY4</f>
        <v>1056</v>
      </c>
      <c r="CZ8" s="276">
        <f>Исх.данные!I78*'Продажи и Выручка'!CZ4</f>
        <v>1232.0000000000002</v>
      </c>
      <c r="DA8" s="276">
        <f>Исх.данные!J78*'Продажи и Выручка'!DA4</f>
        <v>1517.9999999999998</v>
      </c>
      <c r="DB8" s="276">
        <f>Исх.данные!K78*'Продажи и Выручка'!DB4</f>
        <v>1848</v>
      </c>
      <c r="DC8" s="276">
        <f>Исх.данные!L78*'Продажи и Выручка'!DC4</f>
        <v>2112</v>
      </c>
      <c r="DD8" s="276">
        <f>Исх.данные!M78*'Продажи и Выручка'!DD4</f>
        <v>2200</v>
      </c>
      <c r="DE8" s="276">
        <f>Исх.данные!N78*'Продажи и Выручка'!DE4</f>
        <v>374</v>
      </c>
      <c r="DF8" s="276">
        <f>Исх.данные!C78*'Продажи и Выручка'!DF4</f>
        <v>176</v>
      </c>
      <c r="DG8" s="276">
        <f>Исх.данные!D78*'Продажи и Выручка'!DG4</f>
        <v>352</v>
      </c>
      <c r="DH8" s="276">
        <f>Исх.данные!E78*'Продажи и Выручка'!DH4</f>
        <v>660</v>
      </c>
      <c r="DI8" s="276">
        <f>Исх.данные!F78*'Продажи и Выручка'!DI4</f>
        <v>924</v>
      </c>
      <c r="DJ8" s="276">
        <f>Исх.данные!G78*'Продажи и Выручка'!DJ4</f>
        <v>880</v>
      </c>
      <c r="DK8" s="276">
        <f>Исх.данные!H78*'Продажи и Выручка'!DK4</f>
        <v>1056</v>
      </c>
      <c r="DL8" s="276">
        <f>Исх.данные!I78*'Продажи и Выручка'!DL4</f>
        <v>1232.0000000000002</v>
      </c>
      <c r="DM8" s="276">
        <f>Исх.данные!J78*'Продажи и Выручка'!DM4</f>
        <v>1517.9999999999998</v>
      </c>
      <c r="DN8" s="276">
        <f>Исх.данные!K78*'Продажи и Выручка'!DN4</f>
        <v>1848</v>
      </c>
      <c r="DO8" s="276">
        <f>Исх.данные!L78*'Продажи и Выручка'!DO4</f>
        <v>2112</v>
      </c>
      <c r="DP8" s="276">
        <f>Исх.данные!M78*'Продажи и Выручка'!DP4</f>
        <v>2200</v>
      </c>
      <c r="DQ8" s="276">
        <f>Исх.данные!N78*'Продажи и Выручка'!DQ4</f>
        <v>374</v>
      </c>
      <c r="DR8" s="276">
        <f>Исх.данные!C78*'Продажи и Выручка'!DR4</f>
        <v>176</v>
      </c>
      <c r="DS8" s="276">
        <f>Исх.данные!D78*'Продажи и Выручка'!DS4</f>
        <v>352</v>
      </c>
      <c r="DT8" s="276">
        <f>Исх.данные!E78*'Продажи и Выручка'!DT4</f>
        <v>660</v>
      </c>
      <c r="DU8" s="276">
        <f>Исх.данные!F78*'Продажи и Выручка'!DU4</f>
        <v>924</v>
      </c>
      <c r="DV8" s="276">
        <f>Исх.данные!G78*'Продажи и Выручка'!DV4</f>
        <v>880</v>
      </c>
      <c r="DW8" s="276">
        <f>Исх.данные!H78*'Продажи и Выручка'!DW4</f>
        <v>1056</v>
      </c>
      <c r="DX8" s="276">
        <f>Исх.данные!I78*'Продажи и Выручка'!DX4</f>
        <v>1232.0000000000002</v>
      </c>
      <c r="DY8" s="276">
        <f>Исх.данные!J78*'Продажи и Выручка'!DY4</f>
        <v>1517.9999999999998</v>
      </c>
      <c r="DZ8" s="276">
        <f>Исх.данные!K78*'Продажи и Выручка'!DZ4</f>
        <v>1848</v>
      </c>
      <c r="EA8" s="276">
        <f>Исх.данные!L78*'Продажи и Выручка'!EA4</f>
        <v>2112</v>
      </c>
      <c r="EB8" s="276">
        <f>Исх.данные!M78*'Продажи и Выручка'!EB4</f>
        <v>2200</v>
      </c>
      <c r="EC8" s="276">
        <f>Исх.данные!N78*'Продажи и Выручка'!EC4</f>
        <v>374</v>
      </c>
    </row>
    <row r="9" spans="1:133" s="111" customFormat="1" ht="13.5" customHeight="1">
      <c r="A9" s="51" t="str">
        <f>Исх.данные!A34</f>
        <v>НФС с облицовкой керамогранитом</v>
      </c>
      <c r="B9" s="376">
        <v>0</v>
      </c>
      <c r="C9" s="376">
        <v>0</v>
      </c>
      <c r="D9" s="376">
        <v>0</v>
      </c>
      <c r="E9" s="376">
        <v>0</v>
      </c>
      <c r="F9" s="376">
        <v>0</v>
      </c>
      <c r="G9" s="376">
        <v>0</v>
      </c>
      <c r="H9" s="376">
        <v>0</v>
      </c>
      <c r="I9" s="376">
        <v>0</v>
      </c>
      <c r="J9" s="376">
        <v>0</v>
      </c>
      <c r="K9" s="376">
        <v>0</v>
      </c>
      <c r="L9" s="376">
        <v>0</v>
      </c>
      <c r="M9" s="376">
        <v>0</v>
      </c>
      <c r="N9" s="376">
        <v>0</v>
      </c>
      <c r="O9" s="376">
        <v>0</v>
      </c>
      <c r="P9" s="376">
        <v>0</v>
      </c>
      <c r="Q9" s="376">
        <v>0</v>
      </c>
      <c r="R9" s="376">
        <v>0</v>
      </c>
      <c r="S9" s="376">
        <v>0</v>
      </c>
      <c r="T9" s="376">
        <v>0</v>
      </c>
      <c r="U9" s="376">
        <v>0</v>
      </c>
      <c r="V9" s="376">
        <v>0</v>
      </c>
      <c r="W9" s="376">
        <v>0</v>
      </c>
      <c r="X9" s="376">
        <v>0</v>
      </c>
      <c r="Y9" s="42">
        <f>Исх.данные!N79*'Продажи и Выручка'!$Y$4</f>
        <v>59.500000000000007</v>
      </c>
      <c r="Z9" s="276">
        <f>Исх.данные!C79*'Продажи и Выручка'!$Z$4</f>
        <v>39.199999999999996</v>
      </c>
      <c r="AA9" s="276">
        <f>Исх.данные!D79*'Продажи и Выручка'!$AA$4</f>
        <v>100.8</v>
      </c>
      <c r="AB9" s="276">
        <f>Исх.данные!E79*'Продажи и Выручка'!$AB$4</f>
        <v>252</v>
      </c>
      <c r="AC9" s="276">
        <f>Исх.данные!F79*'Продажи и Выручка'!$AC$4</f>
        <v>441</v>
      </c>
      <c r="AD9" s="276">
        <f>Исх.данные!G79*'Продажи и Выручка'!$AD$4</f>
        <v>448</v>
      </c>
      <c r="AE9" s="276">
        <f>Исх.данные!H79*'Продажи и Выручка'!$AE$4</f>
        <v>537.6</v>
      </c>
      <c r="AF9" s="276">
        <f>Исх.данные!I79*'Продажи и Выручка'!$AF$4</f>
        <v>627.20000000000016</v>
      </c>
      <c r="AG9" s="276">
        <f>Исх.данные!J79*'Продажи и Выручка'!$AG$4</f>
        <v>772.8</v>
      </c>
      <c r="AH9" s="276">
        <f>Исх.данные!K79*'Продажи и Выручка'!$AH$4</f>
        <v>940.80000000000007</v>
      </c>
      <c r="AI9" s="276">
        <f>Исх.данные!L79*'Продажи и Выручка'!$AI$4</f>
        <v>1075.2</v>
      </c>
      <c r="AJ9" s="276">
        <f>Исх.данные!M79*'Продажи и Выручка'!$AJ$4</f>
        <v>1120</v>
      </c>
      <c r="AK9" s="276">
        <f>Исх.данные!N79*'Продажи и Выручка'!$AK$4</f>
        <v>238.00000000000003</v>
      </c>
      <c r="AL9" s="276">
        <f>Исх.данные!C79*'Продажи и Выручка'!AL4</f>
        <v>112</v>
      </c>
      <c r="AM9" s="276">
        <f>Исх.данные!D79*'Продажи и Выручка'!AM4</f>
        <v>224</v>
      </c>
      <c r="AN9" s="276">
        <f>Исх.данные!E79*'Продажи и Выручка'!AN4</f>
        <v>420</v>
      </c>
      <c r="AO9" s="276">
        <f>Исх.данные!F79*'Продажи и Выручка'!AO4</f>
        <v>588</v>
      </c>
      <c r="AP9" s="276">
        <f>Исх.данные!G79*'Продажи и Выручка'!AP4</f>
        <v>560</v>
      </c>
      <c r="AQ9" s="276">
        <f>Исх.данные!H79*'Продажи и Выручка'!AQ4</f>
        <v>672</v>
      </c>
      <c r="AR9" s="276">
        <f>Исх.данные!I79*'Продажи и Выручка'!AR4</f>
        <v>784.00000000000011</v>
      </c>
      <c r="AS9" s="276">
        <f>Исх.данные!J79*'Продажи и Выручка'!AS4</f>
        <v>965.99999999999989</v>
      </c>
      <c r="AT9" s="276">
        <f>Исх.данные!K79*'Продажи и Выручка'!AT4</f>
        <v>1176</v>
      </c>
      <c r="AU9" s="276">
        <f>Исх.данные!L79*'Продажи и Выручка'!AU4</f>
        <v>1344</v>
      </c>
      <c r="AV9" s="276">
        <f>Исх.данные!M79*'Продажи и Выручка'!AV4</f>
        <v>1400</v>
      </c>
      <c r="AW9" s="276">
        <f>Исх.данные!N79*'Продажи и Выручка'!AW4</f>
        <v>238.00000000000003</v>
      </c>
      <c r="AX9" s="276">
        <f>Исх.данные!C79*'Продажи и Выручка'!AX4</f>
        <v>112</v>
      </c>
      <c r="AY9" s="276">
        <f>Исх.данные!D79*'Продажи и Выручка'!AY4</f>
        <v>224</v>
      </c>
      <c r="AZ9" s="276">
        <f>Исх.данные!E79*'Продажи и Выручка'!AZ4</f>
        <v>420</v>
      </c>
      <c r="BA9" s="276">
        <f>Исх.данные!F79*'Продажи и Выручка'!BA4</f>
        <v>588</v>
      </c>
      <c r="BB9" s="276">
        <f>Исх.данные!G79*'Продажи и Выручка'!BB4</f>
        <v>560</v>
      </c>
      <c r="BC9" s="276">
        <f>Исх.данные!H79*'Продажи и Выручка'!BC4</f>
        <v>672</v>
      </c>
      <c r="BD9" s="276">
        <f>Исх.данные!I79*'Продажи и Выручка'!BD4</f>
        <v>784.00000000000011</v>
      </c>
      <c r="BE9" s="276">
        <f>Исх.данные!J79*'Продажи и Выручка'!BE4</f>
        <v>965.99999999999989</v>
      </c>
      <c r="BF9" s="276">
        <f>Исх.данные!K79*'Продажи и Выручка'!BF4</f>
        <v>1176</v>
      </c>
      <c r="BG9" s="276">
        <f>Исх.данные!L79*'Продажи и Выручка'!BG4</f>
        <v>1344</v>
      </c>
      <c r="BH9" s="276">
        <f>Исх.данные!M79*'Продажи и Выручка'!BH4</f>
        <v>1400</v>
      </c>
      <c r="BI9" s="276">
        <f>Исх.данные!N79*'Продажи и Выручка'!BI4</f>
        <v>238.00000000000003</v>
      </c>
      <c r="BJ9" s="276">
        <f>Исх.данные!C79*'Продажи и Выручка'!BJ4</f>
        <v>112</v>
      </c>
      <c r="BK9" s="276">
        <f>Исх.данные!D79*'Продажи и Выручка'!BK4</f>
        <v>224</v>
      </c>
      <c r="BL9" s="276">
        <f>Исх.данные!E79*'Продажи и Выручка'!BL4</f>
        <v>420</v>
      </c>
      <c r="BM9" s="276">
        <f>Исх.данные!F79*'Продажи и Выручка'!BM4</f>
        <v>588</v>
      </c>
      <c r="BN9" s="276">
        <f>Исх.данные!G79*'Продажи и Выручка'!BN4</f>
        <v>560</v>
      </c>
      <c r="BO9" s="276">
        <f>Исх.данные!H79*'Продажи и Выручка'!BO4</f>
        <v>672</v>
      </c>
      <c r="BP9" s="276">
        <f>Исх.данные!I79*'Продажи и Выручка'!BP4</f>
        <v>784.00000000000011</v>
      </c>
      <c r="BQ9" s="276">
        <f>Исх.данные!J79*'Продажи и Выручка'!BQ4</f>
        <v>965.99999999999989</v>
      </c>
      <c r="BR9" s="276">
        <f>Исх.данные!K79*'Продажи и Выручка'!BR4</f>
        <v>1176</v>
      </c>
      <c r="BS9" s="276">
        <f>Исх.данные!L79*'Продажи и Выручка'!BS4</f>
        <v>1344</v>
      </c>
      <c r="BT9" s="276">
        <f>Исх.данные!M79*'Продажи и Выручка'!BT4</f>
        <v>1400</v>
      </c>
      <c r="BU9" s="276">
        <f>Исх.данные!N79*'Продажи и Выручка'!BU4</f>
        <v>238.00000000000003</v>
      </c>
      <c r="BV9" s="276">
        <f>Исх.данные!C79*'Продажи и Выручка'!BV4</f>
        <v>112</v>
      </c>
      <c r="BW9" s="276">
        <f>Исх.данные!D79*'Продажи и Выручка'!BW4</f>
        <v>224</v>
      </c>
      <c r="BX9" s="276">
        <f>Исх.данные!E79*'Продажи и Выручка'!BX4</f>
        <v>420</v>
      </c>
      <c r="BY9" s="276">
        <f>Исх.данные!F79*'Продажи и Выручка'!BY4</f>
        <v>588</v>
      </c>
      <c r="BZ9" s="276">
        <f>Исх.данные!G79*'Продажи и Выручка'!BZ4</f>
        <v>560</v>
      </c>
      <c r="CA9" s="276">
        <f>Исх.данные!H79*'Продажи и Выручка'!CA4</f>
        <v>672</v>
      </c>
      <c r="CB9" s="276">
        <f>Исх.данные!I79*'Продажи и Выручка'!CB4</f>
        <v>784.00000000000011</v>
      </c>
      <c r="CC9" s="276">
        <f>Исх.данные!J79*'Продажи и Выручка'!CC4</f>
        <v>965.99999999999989</v>
      </c>
      <c r="CD9" s="276">
        <f>Исх.данные!K79*'Продажи и Выручка'!CD4</f>
        <v>1176</v>
      </c>
      <c r="CE9" s="276">
        <f>Исх.данные!L79*'Продажи и Выручка'!CE4</f>
        <v>1344</v>
      </c>
      <c r="CF9" s="276">
        <f>Исх.данные!M79*'Продажи и Выручка'!CF4</f>
        <v>1400</v>
      </c>
      <c r="CG9" s="276">
        <f>Исх.данные!N79*'Продажи и Выручка'!CG4</f>
        <v>238.00000000000003</v>
      </c>
      <c r="CH9" s="276">
        <f>Исх.данные!C79*'Продажи и Выручка'!CH4</f>
        <v>112</v>
      </c>
      <c r="CI9" s="276">
        <f>Исх.данные!D79*'Продажи и Выручка'!CI4</f>
        <v>224</v>
      </c>
      <c r="CJ9" s="276">
        <f>Исх.данные!E79*'Продажи и Выручка'!CJ4</f>
        <v>420</v>
      </c>
      <c r="CK9" s="276">
        <f>Исх.данные!F79*'Продажи и Выручка'!CK4</f>
        <v>588</v>
      </c>
      <c r="CL9" s="276">
        <f>Исх.данные!G79*'Продажи и Выручка'!CL4</f>
        <v>560</v>
      </c>
      <c r="CM9" s="276">
        <f>Исх.данные!H79*'Продажи и Выручка'!CM4</f>
        <v>672</v>
      </c>
      <c r="CN9" s="276">
        <f>Исх.данные!I79*'Продажи и Выручка'!CN4</f>
        <v>784.00000000000011</v>
      </c>
      <c r="CO9" s="276">
        <f>Исх.данные!J79*'Продажи и Выручка'!CO4</f>
        <v>965.99999999999989</v>
      </c>
      <c r="CP9" s="276">
        <f>Исх.данные!K79*'Продажи и Выручка'!CP4</f>
        <v>1176</v>
      </c>
      <c r="CQ9" s="276">
        <f>Исх.данные!L79*'Продажи и Выручка'!CQ4</f>
        <v>1344</v>
      </c>
      <c r="CR9" s="276">
        <f>Исх.данные!M79*'Продажи и Выручка'!CR4</f>
        <v>1400</v>
      </c>
      <c r="CS9" s="276">
        <f>Исх.данные!N79*'Продажи и Выручка'!CS4</f>
        <v>238.00000000000003</v>
      </c>
      <c r="CT9" s="276">
        <f>Исх.данные!C79*'Продажи и Выручка'!CT4</f>
        <v>112</v>
      </c>
      <c r="CU9" s="276">
        <f>Исх.данные!D79*'Продажи и Выручка'!CU4</f>
        <v>224</v>
      </c>
      <c r="CV9" s="276">
        <f>Исх.данные!E79*'Продажи и Выручка'!CV4</f>
        <v>420</v>
      </c>
      <c r="CW9" s="276">
        <f>Исх.данные!F79*'Продажи и Выручка'!CW4</f>
        <v>588</v>
      </c>
      <c r="CX9" s="276">
        <f>Исх.данные!G79*'Продажи и Выручка'!CX4</f>
        <v>560</v>
      </c>
      <c r="CY9" s="276">
        <f>Исх.данные!H79*'Продажи и Выручка'!CY4</f>
        <v>672</v>
      </c>
      <c r="CZ9" s="276">
        <f>Исх.данные!I79*'Продажи и Выручка'!CZ4</f>
        <v>784.00000000000011</v>
      </c>
      <c r="DA9" s="276">
        <f>Исх.данные!J79*'Продажи и Выручка'!DA4</f>
        <v>965.99999999999989</v>
      </c>
      <c r="DB9" s="276">
        <f>Исх.данные!K79*'Продажи и Выручка'!DB4</f>
        <v>1176</v>
      </c>
      <c r="DC9" s="276">
        <f>Исх.данные!L79*'Продажи и Выручка'!DC4</f>
        <v>1344</v>
      </c>
      <c r="DD9" s="276">
        <f>Исх.данные!M79*'Продажи и Выручка'!DD4</f>
        <v>1400</v>
      </c>
      <c r="DE9" s="276">
        <f>Исх.данные!N79*'Продажи и Выручка'!DE4</f>
        <v>238.00000000000003</v>
      </c>
      <c r="DF9" s="276">
        <f>Исх.данные!C79*'Продажи и Выручка'!DF4</f>
        <v>112</v>
      </c>
      <c r="DG9" s="276">
        <f>Исх.данные!D79*'Продажи и Выручка'!DG4</f>
        <v>224</v>
      </c>
      <c r="DH9" s="276">
        <f>Исх.данные!E79*'Продажи и Выручка'!DH4</f>
        <v>420</v>
      </c>
      <c r="DI9" s="276">
        <f>Исх.данные!F79*'Продажи и Выручка'!DI4</f>
        <v>588</v>
      </c>
      <c r="DJ9" s="276">
        <f>Исх.данные!G79*'Продажи и Выручка'!DJ4</f>
        <v>560</v>
      </c>
      <c r="DK9" s="276">
        <f>Исх.данные!H79*'Продажи и Выручка'!DK4</f>
        <v>672</v>
      </c>
      <c r="DL9" s="276">
        <f>Исх.данные!I79*'Продажи и Выручка'!DL4</f>
        <v>784.00000000000011</v>
      </c>
      <c r="DM9" s="276">
        <f>Исх.данные!J79*'Продажи и Выручка'!DM4</f>
        <v>965.99999999999989</v>
      </c>
      <c r="DN9" s="276">
        <f>Исх.данные!K79*'Продажи и Выручка'!DN4</f>
        <v>1176</v>
      </c>
      <c r="DO9" s="276">
        <f>Исх.данные!L79*'Продажи и Выручка'!DO4</f>
        <v>1344</v>
      </c>
      <c r="DP9" s="276">
        <f>Исх.данные!M79*'Продажи и Выручка'!DP4</f>
        <v>1400</v>
      </c>
      <c r="DQ9" s="276">
        <f>Исх.данные!N79*'Продажи и Выручка'!DQ4</f>
        <v>238.00000000000003</v>
      </c>
      <c r="DR9" s="276">
        <f>Исх.данные!C79*'Продажи и Выручка'!DR4</f>
        <v>112</v>
      </c>
      <c r="DS9" s="276">
        <f>Исх.данные!D79*'Продажи и Выручка'!DS4</f>
        <v>224</v>
      </c>
      <c r="DT9" s="276">
        <f>Исх.данные!E79*'Продажи и Выручка'!DT4</f>
        <v>420</v>
      </c>
      <c r="DU9" s="276">
        <f>Исх.данные!F79*'Продажи и Выручка'!DU4</f>
        <v>588</v>
      </c>
      <c r="DV9" s="276">
        <f>Исх.данные!G79*'Продажи и Выручка'!DV4</f>
        <v>560</v>
      </c>
      <c r="DW9" s="276">
        <f>Исх.данные!H79*'Продажи и Выручка'!DW4</f>
        <v>672</v>
      </c>
      <c r="DX9" s="276">
        <f>Исх.данные!I79*'Продажи и Выручка'!DX4</f>
        <v>784.00000000000011</v>
      </c>
      <c r="DY9" s="276">
        <f>Исх.данные!J79*'Продажи и Выручка'!DY4</f>
        <v>965.99999999999989</v>
      </c>
      <c r="DZ9" s="276">
        <f>Исх.данные!K79*'Продажи и Выручка'!DZ4</f>
        <v>1176</v>
      </c>
      <c r="EA9" s="276">
        <f>Исх.данные!L79*'Продажи и Выручка'!EA4</f>
        <v>1344</v>
      </c>
      <c r="EB9" s="276">
        <f>Исх.данные!M79*'Продажи и Выручка'!EB4</f>
        <v>1400</v>
      </c>
      <c r="EC9" s="276">
        <f>Исх.данные!N79*'Продажи и Выручка'!EC4</f>
        <v>238.00000000000003</v>
      </c>
    </row>
    <row r="10" spans="1:133" s="111" customFormat="1" ht="13.5" customHeight="1">
      <c r="A10" s="51" t="s">
        <v>391</v>
      </c>
      <c r="B10" s="376">
        <v>0</v>
      </c>
      <c r="C10" s="376">
        <v>0</v>
      </c>
      <c r="D10" s="376">
        <v>0</v>
      </c>
      <c r="E10" s="376">
        <v>0</v>
      </c>
      <c r="F10" s="376">
        <v>0</v>
      </c>
      <c r="G10" s="376">
        <v>0</v>
      </c>
      <c r="H10" s="376">
        <v>0</v>
      </c>
      <c r="I10" s="376">
        <v>0</v>
      </c>
      <c r="J10" s="376">
        <v>0</v>
      </c>
      <c r="K10" s="376">
        <v>0</v>
      </c>
      <c r="L10" s="376">
        <v>0</v>
      </c>
      <c r="M10" s="376">
        <v>0</v>
      </c>
      <c r="N10" s="376">
        <v>0</v>
      </c>
      <c r="O10" s="376">
        <v>0</v>
      </c>
      <c r="P10" s="376">
        <v>0</v>
      </c>
      <c r="Q10" s="376">
        <v>0</v>
      </c>
      <c r="R10" s="376">
        <v>0</v>
      </c>
      <c r="S10" s="376">
        <v>0</v>
      </c>
      <c r="T10" s="376">
        <v>0</v>
      </c>
      <c r="U10" s="376">
        <v>0</v>
      </c>
      <c r="V10" s="376">
        <v>0</v>
      </c>
      <c r="W10" s="376">
        <v>0</v>
      </c>
      <c r="X10" s="376">
        <v>0</v>
      </c>
      <c r="Y10" s="276">
        <v>0</v>
      </c>
      <c r="Z10" s="276">
        <v>0</v>
      </c>
      <c r="AA10" s="276">
        <v>0</v>
      </c>
      <c r="AB10" s="276">
        <v>0</v>
      </c>
      <c r="AC10" s="276">
        <v>0</v>
      </c>
      <c r="AD10" s="276">
        <v>0</v>
      </c>
      <c r="AE10" s="276">
        <v>0</v>
      </c>
      <c r="AF10" s="276">
        <v>0</v>
      </c>
      <c r="AG10" s="276">
        <v>0</v>
      </c>
      <c r="AH10" s="276">
        <v>0</v>
      </c>
      <c r="AI10" s="276">
        <v>0</v>
      </c>
      <c r="AJ10" s="276">
        <v>0</v>
      </c>
      <c r="AK10" s="276">
        <v>0</v>
      </c>
      <c r="AL10" s="276">
        <v>0</v>
      </c>
      <c r="AM10" s="276">
        <v>0</v>
      </c>
      <c r="AN10" s="276">
        <v>0</v>
      </c>
      <c r="AO10" s="276">
        <v>0</v>
      </c>
      <c r="AP10" s="276">
        <v>0</v>
      </c>
      <c r="AQ10" s="276">
        <v>0</v>
      </c>
      <c r="AR10" s="276">
        <v>0</v>
      </c>
      <c r="AS10" s="276">
        <v>0</v>
      </c>
      <c r="AT10" s="276">
        <v>0</v>
      </c>
      <c r="AU10" s="276">
        <v>0</v>
      </c>
      <c r="AV10" s="276">
        <v>0</v>
      </c>
      <c r="AW10" s="276">
        <v>0</v>
      </c>
      <c r="AX10" s="276">
        <f>Исх.данные!$D$35</f>
        <v>1500</v>
      </c>
      <c r="AY10" s="276">
        <f>Исх.данные!$D$35</f>
        <v>1500</v>
      </c>
      <c r="AZ10" s="276">
        <f>Исх.данные!$D$35</f>
        <v>1500</v>
      </c>
      <c r="BA10" s="276">
        <f>Исх.данные!$D$35</f>
        <v>1500</v>
      </c>
      <c r="BB10" s="276">
        <f>Исх.данные!$D$35</f>
        <v>1500</v>
      </c>
      <c r="BC10" s="276">
        <f>Исх.данные!$D$35</f>
        <v>1500</v>
      </c>
      <c r="BD10" s="276">
        <f>Исх.данные!$D$35</f>
        <v>1500</v>
      </c>
      <c r="BE10" s="276">
        <f>Исх.данные!$D$35</f>
        <v>1500</v>
      </c>
      <c r="BF10" s="276">
        <f>Исх.данные!$D$35</f>
        <v>1500</v>
      </c>
      <c r="BG10" s="276">
        <f>Исх.данные!$D$35</f>
        <v>1500</v>
      </c>
      <c r="BH10" s="276">
        <f>Исх.данные!$D$35</f>
        <v>1500</v>
      </c>
      <c r="BI10" s="276">
        <f>Исх.данные!$D$35</f>
        <v>1500</v>
      </c>
      <c r="BJ10" s="276">
        <f>Исх.данные!$D$35*2</f>
        <v>3000</v>
      </c>
      <c r="BK10" s="276">
        <f>Исх.данные!$D$35*2</f>
        <v>3000</v>
      </c>
      <c r="BL10" s="276">
        <f>Исх.данные!$D$35*2</f>
        <v>3000</v>
      </c>
      <c r="BM10" s="276">
        <f>Исх.данные!$D$35*2</f>
        <v>3000</v>
      </c>
      <c r="BN10" s="276">
        <f>Исх.данные!$D$35*2</f>
        <v>3000</v>
      </c>
      <c r="BO10" s="276">
        <f>Исх.данные!$D$35*2</f>
        <v>3000</v>
      </c>
      <c r="BP10" s="276">
        <f>Исх.данные!$D$35*2</f>
        <v>3000</v>
      </c>
      <c r="BQ10" s="276">
        <f>Исх.данные!$D$35*2</f>
        <v>3000</v>
      </c>
      <c r="BR10" s="276">
        <f>Исх.данные!$D$35*2</f>
        <v>3000</v>
      </c>
      <c r="BS10" s="276">
        <f>Исх.данные!$D$35*2</f>
        <v>3000</v>
      </c>
      <c r="BT10" s="276">
        <f>Исх.данные!$D$35*2</f>
        <v>3000</v>
      </c>
      <c r="BU10" s="276">
        <f>Исх.данные!$D$35*2</f>
        <v>3000</v>
      </c>
      <c r="BV10" s="276">
        <f>Исх.данные!$D$35*2</f>
        <v>3000</v>
      </c>
      <c r="BW10" s="276">
        <f>Исх.данные!$D$35*2</f>
        <v>3000</v>
      </c>
      <c r="BX10" s="276">
        <f>Исх.данные!$D$35*2</f>
        <v>3000</v>
      </c>
      <c r="BY10" s="276">
        <f>Исх.данные!$D$35*2</f>
        <v>3000</v>
      </c>
      <c r="BZ10" s="276">
        <f>Исх.данные!$D$35*2</f>
        <v>3000</v>
      </c>
      <c r="CA10" s="276">
        <f>Исх.данные!$D$35*2</f>
        <v>3000</v>
      </c>
      <c r="CB10" s="276">
        <f>Исх.данные!$D$35*2</f>
        <v>3000</v>
      </c>
      <c r="CC10" s="276">
        <f>Исх.данные!$D$35*2</f>
        <v>3000</v>
      </c>
      <c r="CD10" s="276">
        <f>Исх.данные!$D$35*2</f>
        <v>3000</v>
      </c>
      <c r="CE10" s="276">
        <f>Исх.данные!$D$35*2</f>
        <v>3000</v>
      </c>
      <c r="CF10" s="276">
        <f>Исх.данные!$D$35*2</f>
        <v>3000</v>
      </c>
      <c r="CG10" s="276">
        <f>Исх.данные!$D$35*2</f>
        <v>3000</v>
      </c>
      <c r="CH10" s="276">
        <f>Исх.данные!$D$35*2</f>
        <v>3000</v>
      </c>
      <c r="CI10" s="276">
        <f>Исх.данные!$D$35*2</f>
        <v>3000</v>
      </c>
      <c r="CJ10" s="276">
        <f>Исх.данные!$D$35*2</f>
        <v>3000</v>
      </c>
      <c r="CK10" s="276">
        <f>Исх.данные!$D$35*2</f>
        <v>3000</v>
      </c>
      <c r="CL10" s="276">
        <f>Исх.данные!$D$35*2</f>
        <v>3000</v>
      </c>
      <c r="CM10" s="276">
        <f>Исх.данные!$D$35*2</f>
        <v>3000</v>
      </c>
      <c r="CN10" s="276">
        <f>Исх.данные!$D$35*2</f>
        <v>3000</v>
      </c>
      <c r="CO10" s="276">
        <f>Исх.данные!$D$35*2</f>
        <v>3000</v>
      </c>
      <c r="CP10" s="276">
        <f>Исх.данные!$D$35*2</f>
        <v>3000</v>
      </c>
      <c r="CQ10" s="276">
        <f>Исх.данные!$D$35*2</f>
        <v>3000</v>
      </c>
      <c r="CR10" s="276">
        <f>Исх.данные!$D$35*2</f>
        <v>3000</v>
      </c>
      <c r="CS10" s="276">
        <f>Исх.данные!$D$35*2</f>
        <v>3000</v>
      </c>
      <c r="CT10" s="276">
        <f>Исх.данные!$D$35*2</f>
        <v>3000</v>
      </c>
      <c r="CU10" s="276">
        <f>Исх.данные!$D$35*2</f>
        <v>3000</v>
      </c>
      <c r="CV10" s="276">
        <f>Исх.данные!$D$35*2</f>
        <v>3000</v>
      </c>
      <c r="CW10" s="276">
        <f>Исх.данные!$D$35*2</f>
        <v>3000</v>
      </c>
      <c r="CX10" s="276">
        <f>Исх.данные!$D$35*2</f>
        <v>3000</v>
      </c>
      <c r="CY10" s="276">
        <f>Исх.данные!$D$35*2</f>
        <v>3000</v>
      </c>
      <c r="CZ10" s="276">
        <f>Исх.данные!$D$35*2</f>
        <v>3000</v>
      </c>
      <c r="DA10" s="276">
        <f>Исх.данные!$D$35*2</f>
        <v>3000</v>
      </c>
      <c r="DB10" s="276">
        <f>Исх.данные!$D$35*2</f>
        <v>3000</v>
      </c>
      <c r="DC10" s="276">
        <f>Исх.данные!$D$35*2</f>
        <v>3000</v>
      </c>
      <c r="DD10" s="276">
        <f>Исх.данные!$D$35*2</f>
        <v>3000</v>
      </c>
      <c r="DE10" s="276">
        <f>Исх.данные!$D$35*2</f>
        <v>3000</v>
      </c>
      <c r="DF10" s="276">
        <f>Исх.данные!$D$35*2</f>
        <v>3000</v>
      </c>
      <c r="DG10" s="276">
        <f>Исх.данные!$D$35*2</f>
        <v>3000</v>
      </c>
      <c r="DH10" s="276">
        <f>Исх.данные!$D$35*2</f>
        <v>3000</v>
      </c>
      <c r="DI10" s="276">
        <f>Исх.данные!$D$35*2</f>
        <v>3000</v>
      </c>
      <c r="DJ10" s="276">
        <f>Исх.данные!$D$35*2</f>
        <v>3000</v>
      </c>
      <c r="DK10" s="276">
        <f>Исх.данные!$D$35*2</f>
        <v>3000</v>
      </c>
      <c r="DL10" s="276">
        <f>Исх.данные!$D$35*2</f>
        <v>3000</v>
      </c>
      <c r="DM10" s="276">
        <f>Исх.данные!$D$35*2</f>
        <v>3000</v>
      </c>
      <c r="DN10" s="276">
        <f>Исх.данные!$D$35*2</f>
        <v>3000</v>
      </c>
      <c r="DO10" s="276">
        <f>Исх.данные!$D$35*2</f>
        <v>3000</v>
      </c>
      <c r="DP10" s="276">
        <f>Исх.данные!$D$35*2</f>
        <v>3000</v>
      </c>
      <c r="DQ10" s="276">
        <f>Исх.данные!$D$35*2</f>
        <v>3000</v>
      </c>
      <c r="DR10" s="276">
        <f>Исх.данные!$D$35*2</f>
        <v>3000</v>
      </c>
      <c r="DS10" s="276">
        <f>Исх.данные!$D$35*2</f>
        <v>3000</v>
      </c>
      <c r="DT10" s="276">
        <f>Исх.данные!$D$35*2</f>
        <v>3000</v>
      </c>
      <c r="DU10" s="276">
        <f>Исх.данные!$D$35*2</f>
        <v>3000</v>
      </c>
      <c r="DV10" s="276">
        <f>Исх.данные!$D$35*2</f>
        <v>3000</v>
      </c>
      <c r="DW10" s="276">
        <f>Исх.данные!$D$35*2</f>
        <v>3000</v>
      </c>
      <c r="DX10" s="276">
        <f>Исх.данные!$D$35*2</f>
        <v>3000</v>
      </c>
      <c r="DY10" s="276">
        <f>Исх.данные!$D$35*2</f>
        <v>3000</v>
      </c>
      <c r="DZ10" s="276">
        <f>Исх.данные!$D$35*2</f>
        <v>3000</v>
      </c>
      <c r="EA10" s="276">
        <f>Исх.данные!$D$35*2</f>
        <v>3000</v>
      </c>
      <c r="EB10" s="276">
        <f>Исх.данные!$D$35*2</f>
        <v>3000</v>
      </c>
      <c r="EC10" s="276">
        <f>Исх.данные!$D$35*2</f>
        <v>3000</v>
      </c>
    </row>
    <row r="11" spans="1:133" s="81" customFormat="1" ht="13.5" customHeight="1">
      <c r="A11" s="125" t="s">
        <v>403</v>
      </c>
      <c r="B11" s="104">
        <f t="shared" ref="B11:X11" si="0">SUM(B5:B10)</f>
        <v>0</v>
      </c>
      <c r="C11" s="104">
        <f t="shared" si="0"/>
        <v>0</v>
      </c>
      <c r="D11" s="104">
        <f t="shared" si="0"/>
        <v>0</v>
      </c>
      <c r="E11" s="104">
        <f t="shared" si="0"/>
        <v>0</v>
      </c>
      <c r="F11" s="104">
        <f t="shared" si="0"/>
        <v>0</v>
      </c>
      <c r="G11" s="104">
        <f t="shared" si="0"/>
        <v>0</v>
      </c>
      <c r="H11" s="104">
        <f t="shared" si="0"/>
        <v>0</v>
      </c>
      <c r="I11" s="104">
        <f t="shared" si="0"/>
        <v>0</v>
      </c>
      <c r="J11" s="104">
        <f t="shared" si="0"/>
        <v>0</v>
      </c>
      <c r="K11" s="104">
        <f t="shared" si="0"/>
        <v>0</v>
      </c>
      <c r="L11" s="104">
        <f t="shared" si="0"/>
        <v>0</v>
      </c>
      <c r="M11" s="104">
        <f t="shared" si="0"/>
        <v>0</v>
      </c>
      <c r="N11" s="104">
        <f t="shared" si="0"/>
        <v>0</v>
      </c>
      <c r="O11" s="104">
        <f t="shared" si="0"/>
        <v>0</v>
      </c>
      <c r="P11" s="104">
        <f t="shared" si="0"/>
        <v>0</v>
      </c>
      <c r="Q11" s="104">
        <f t="shared" si="0"/>
        <v>0</v>
      </c>
      <c r="R11" s="104">
        <f t="shared" si="0"/>
        <v>0</v>
      </c>
      <c r="S11" s="104">
        <f t="shared" si="0"/>
        <v>0</v>
      </c>
      <c r="T11" s="104">
        <f t="shared" si="0"/>
        <v>0</v>
      </c>
      <c r="U11" s="104">
        <f t="shared" si="0"/>
        <v>0</v>
      </c>
      <c r="V11" s="104">
        <f t="shared" si="0"/>
        <v>0</v>
      </c>
      <c r="W11" s="104">
        <f t="shared" si="0"/>
        <v>0</v>
      </c>
      <c r="X11" s="104">
        <f t="shared" si="0"/>
        <v>0</v>
      </c>
      <c r="Y11" s="104">
        <f t="shared" ref="Y11:AJ11" si="1">SUM(Y5:Y10)</f>
        <v>665.55000000000007</v>
      </c>
      <c r="Z11" s="104">
        <f t="shared" si="1"/>
        <v>438.47999999999996</v>
      </c>
      <c r="AA11" s="104">
        <f t="shared" si="1"/>
        <v>1127.52</v>
      </c>
      <c r="AB11" s="104">
        <f t="shared" si="1"/>
        <v>2818.8</v>
      </c>
      <c r="AC11" s="104">
        <f t="shared" si="1"/>
        <v>4932.8999999999996</v>
      </c>
      <c r="AD11" s="104">
        <f t="shared" si="1"/>
        <v>5011.2</v>
      </c>
      <c r="AE11" s="104">
        <f t="shared" si="1"/>
        <v>6013.4400000000005</v>
      </c>
      <c r="AF11" s="104">
        <f t="shared" si="1"/>
        <v>7015.6800000000012</v>
      </c>
      <c r="AG11" s="104">
        <f t="shared" si="1"/>
        <v>8644.32</v>
      </c>
      <c r="AH11" s="104">
        <f t="shared" si="1"/>
        <v>10523.52</v>
      </c>
      <c r="AI11" s="104">
        <f t="shared" si="1"/>
        <v>12026.880000000001</v>
      </c>
      <c r="AJ11" s="104">
        <f t="shared" si="1"/>
        <v>12528</v>
      </c>
      <c r="AK11" s="104">
        <f>SUM(AK5:AK10)</f>
        <v>2662.2000000000003</v>
      </c>
      <c r="AL11" s="104">
        <f t="shared" ref="AL11:CW11" si="2">SUM(AL5:AL10)</f>
        <v>1252.8</v>
      </c>
      <c r="AM11" s="104">
        <f t="shared" si="2"/>
        <v>2505.6</v>
      </c>
      <c r="AN11" s="104">
        <f t="shared" si="2"/>
        <v>4698</v>
      </c>
      <c r="AO11" s="104">
        <f t="shared" si="2"/>
        <v>6577.2</v>
      </c>
      <c r="AP11" s="104">
        <f t="shared" si="2"/>
        <v>6264</v>
      </c>
      <c r="AQ11" s="104">
        <f t="shared" si="2"/>
        <v>7516.8</v>
      </c>
      <c r="AR11" s="104">
        <f t="shared" si="2"/>
        <v>8769.6</v>
      </c>
      <c r="AS11" s="104">
        <f t="shared" si="2"/>
        <v>10805.4</v>
      </c>
      <c r="AT11" s="104">
        <f t="shared" si="2"/>
        <v>13154.4</v>
      </c>
      <c r="AU11" s="104">
        <f t="shared" si="2"/>
        <v>15033.6</v>
      </c>
      <c r="AV11" s="104">
        <f t="shared" si="2"/>
        <v>15660</v>
      </c>
      <c r="AW11" s="104">
        <f t="shared" si="2"/>
        <v>2662.2000000000003</v>
      </c>
      <c r="AX11" s="104">
        <f t="shared" si="2"/>
        <v>2752.8</v>
      </c>
      <c r="AY11" s="104">
        <f t="shared" si="2"/>
        <v>4005.6</v>
      </c>
      <c r="AZ11" s="104">
        <f t="shared" si="2"/>
        <v>6198</v>
      </c>
      <c r="BA11" s="104">
        <f t="shared" si="2"/>
        <v>8077.2</v>
      </c>
      <c r="BB11" s="104">
        <f t="shared" si="2"/>
        <v>7764</v>
      </c>
      <c r="BC11" s="104">
        <f t="shared" si="2"/>
        <v>9016.7999999999993</v>
      </c>
      <c r="BD11" s="104">
        <f t="shared" si="2"/>
        <v>10269.6</v>
      </c>
      <c r="BE11" s="104">
        <f t="shared" si="2"/>
        <v>12305.4</v>
      </c>
      <c r="BF11" s="104">
        <f t="shared" si="2"/>
        <v>14654.4</v>
      </c>
      <c r="BG11" s="104">
        <f t="shared" si="2"/>
        <v>16533.599999999999</v>
      </c>
      <c r="BH11" s="104">
        <f t="shared" si="2"/>
        <v>17160</v>
      </c>
      <c r="BI11" s="104">
        <f t="shared" si="2"/>
        <v>4162.2000000000007</v>
      </c>
      <c r="BJ11" s="104">
        <f t="shared" si="2"/>
        <v>4252.8</v>
      </c>
      <c r="BK11" s="104">
        <f t="shared" si="2"/>
        <v>5505.6</v>
      </c>
      <c r="BL11" s="104">
        <f t="shared" si="2"/>
        <v>7698</v>
      </c>
      <c r="BM11" s="104">
        <f t="shared" si="2"/>
        <v>9577.2000000000007</v>
      </c>
      <c r="BN11" s="104">
        <f t="shared" si="2"/>
        <v>9264</v>
      </c>
      <c r="BO11" s="104">
        <f t="shared" si="2"/>
        <v>10516.8</v>
      </c>
      <c r="BP11" s="104">
        <f t="shared" si="2"/>
        <v>11769.6</v>
      </c>
      <c r="BQ11" s="104">
        <f t="shared" si="2"/>
        <v>13805.4</v>
      </c>
      <c r="BR11" s="104">
        <f t="shared" si="2"/>
        <v>16154.4</v>
      </c>
      <c r="BS11" s="104">
        <f t="shared" si="2"/>
        <v>18033.599999999999</v>
      </c>
      <c r="BT11" s="104">
        <f t="shared" si="2"/>
        <v>18660</v>
      </c>
      <c r="BU11" s="104">
        <f t="shared" si="2"/>
        <v>5662.2000000000007</v>
      </c>
      <c r="BV11" s="104">
        <f t="shared" si="2"/>
        <v>4252.8</v>
      </c>
      <c r="BW11" s="104">
        <f t="shared" si="2"/>
        <v>5505.6</v>
      </c>
      <c r="BX11" s="104">
        <f t="shared" si="2"/>
        <v>7698</v>
      </c>
      <c r="BY11" s="104">
        <f t="shared" si="2"/>
        <v>9577.2000000000007</v>
      </c>
      <c r="BZ11" s="104">
        <f t="shared" si="2"/>
        <v>9264</v>
      </c>
      <c r="CA11" s="104">
        <f t="shared" si="2"/>
        <v>10516.8</v>
      </c>
      <c r="CB11" s="104">
        <f t="shared" si="2"/>
        <v>11769.6</v>
      </c>
      <c r="CC11" s="104">
        <f t="shared" si="2"/>
        <v>13805.4</v>
      </c>
      <c r="CD11" s="104">
        <f t="shared" si="2"/>
        <v>16154.4</v>
      </c>
      <c r="CE11" s="104">
        <f t="shared" si="2"/>
        <v>18033.599999999999</v>
      </c>
      <c r="CF11" s="104">
        <f t="shared" si="2"/>
        <v>18660</v>
      </c>
      <c r="CG11" s="104">
        <f t="shared" si="2"/>
        <v>5662.2000000000007</v>
      </c>
      <c r="CH11" s="104">
        <f t="shared" si="2"/>
        <v>4252.8</v>
      </c>
      <c r="CI11" s="104">
        <f t="shared" si="2"/>
        <v>5505.6</v>
      </c>
      <c r="CJ11" s="104">
        <f t="shared" si="2"/>
        <v>7698</v>
      </c>
      <c r="CK11" s="104">
        <f t="shared" si="2"/>
        <v>9577.2000000000007</v>
      </c>
      <c r="CL11" s="104">
        <f t="shared" si="2"/>
        <v>9264</v>
      </c>
      <c r="CM11" s="104">
        <f t="shared" si="2"/>
        <v>10516.8</v>
      </c>
      <c r="CN11" s="104">
        <f t="shared" si="2"/>
        <v>11769.6</v>
      </c>
      <c r="CO11" s="104">
        <f t="shared" si="2"/>
        <v>13805.4</v>
      </c>
      <c r="CP11" s="104">
        <f t="shared" si="2"/>
        <v>16154.4</v>
      </c>
      <c r="CQ11" s="104">
        <f t="shared" si="2"/>
        <v>18033.599999999999</v>
      </c>
      <c r="CR11" s="104">
        <f t="shared" si="2"/>
        <v>18660</v>
      </c>
      <c r="CS11" s="104">
        <f t="shared" si="2"/>
        <v>5662.2000000000007</v>
      </c>
      <c r="CT11" s="104">
        <f t="shared" si="2"/>
        <v>4252.8</v>
      </c>
      <c r="CU11" s="104">
        <f t="shared" si="2"/>
        <v>5505.6</v>
      </c>
      <c r="CV11" s="104">
        <f t="shared" si="2"/>
        <v>7698</v>
      </c>
      <c r="CW11" s="104">
        <f t="shared" si="2"/>
        <v>9577.2000000000007</v>
      </c>
      <c r="CX11" s="104">
        <f t="shared" ref="CX11:EC11" si="3">SUM(CX5:CX10)</f>
        <v>9264</v>
      </c>
      <c r="CY11" s="104">
        <f t="shared" si="3"/>
        <v>10516.8</v>
      </c>
      <c r="CZ11" s="104">
        <f t="shared" si="3"/>
        <v>11769.6</v>
      </c>
      <c r="DA11" s="104">
        <f t="shared" si="3"/>
        <v>13805.4</v>
      </c>
      <c r="DB11" s="104">
        <f t="shared" si="3"/>
        <v>16154.4</v>
      </c>
      <c r="DC11" s="104">
        <f t="shared" si="3"/>
        <v>18033.599999999999</v>
      </c>
      <c r="DD11" s="104">
        <f t="shared" si="3"/>
        <v>18660</v>
      </c>
      <c r="DE11" s="104">
        <f t="shared" si="3"/>
        <v>5662.2000000000007</v>
      </c>
      <c r="DF11" s="104">
        <f t="shared" si="3"/>
        <v>4252.8</v>
      </c>
      <c r="DG11" s="104">
        <f t="shared" si="3"/>
        <v>5505.6</v>
      </c>
      <c r="DH11" s="104">
        <f t="shared" si="3"/>
        <v>7698</v>
      </c>
      <c r="DI11" s="104">
        <f t="shared" si="3"/>
        <v>9577.2000000000007</v>
      </c>
      <c r="DJ11" s="104">
        <f t="shared" si="3"/>
        <v>9264</v>
      </c>
      <c r="DK11" s="104">
        <f t="shared" si="3"/>
        <v>10516.8</v>
      </c>
      <c r="DL11" s="104">
        <f t="shared" si="3"/>
        <v>11769.6</v>
      </c>
      <c r="DM11" s="104">
        <f t="shared" si="3"/>
        <v>13805.4</v>
      </c>
      <c r="DN11" s="104">
        <f t="shared" si="3"/>
        <v>16154.4</v>
      </c>
      <c r="DO11" s="104">
        <f t="shared" si="3"/>
        <v>18033.599999999999</v>
      </c>
      <c r="DP11" s="104">
        <f t="shared" si="3"/>
        <v>18660</v>
      </c>
      <c r="DQ11" s="104">
        <f t="shared" si="3"/>
        <v>5662.2000000000007</v>
      </c>
      <c r="DR11" s="104">
        <f t="shared" si="3"/>
        <v>4252.8</v>
      </c>
      <c r="DS11" s="104">
        <f t="shared" si="3"/>
        <v>5505.6</v>
      </c>
      <c r="DT11" s="104">
        <f t="shared" si="3"/>
        <v>7698</v>
      </c>
      <c r="DU11" s="104">
        <f t="shared" si="3"/>
        <v>9577.2000000000007</v>
      </c>
      <c r="DV11" s="104">
        <f t="shared" si="3"/>
        <v>9264</v>
      </c>
      <c r="DW11" s="104">
        <f t="shared" si="3"/>
        <v>10516.8</v>
      </c>
      <c r="DX11" s="104">
        <f t="shared" si="3"/>
        <v>11769.6</v>
      </c>
      <c r="DY11" s="104">
        <f t="shared" si="3"/>
        <v>13805.4</v>
      </c>
      <c r="DZ11" s="104">
        <f t="shared" si="3"/>
        <v>16154.4</v>
      </c>
      <c r="EA11" s="104">
        <f t="shared" si="3"/>
        <v>18033.599999999999</v>
      </c>
      <c r="EB11" s="104">
        <f t="shared" si="3"/>
        <v>18660</v>
      </c>
      <c r="EC11" s="104">
        <f t="shared" si="3"/>
        <v>5662.2000000000007</v>
      </c>
    </row>
    <row r="12" spans="1:133" s="62" customFormat="1" ht="13.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133" s="62" customFormat="1" ht="13.5" customHeight="1">
      <c r="A13" s="79" t="s">
        <v>394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82"/>
      <c r="AA13" s="82"/>
      <c r="AB13" s="82"/>
      <c r="AC13" s="83"/>
      <c r="AD13" s="83"/>
      <c r="AE13" s="83"/>
      <c r="AF13" s="86"/>
      <c r="AG13" s="86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133" s="62" customFormat="1" ht="13.5" customHeight="1">
      <c r="A14" s="228" t="s">
        <v>9</v>
      </c>
      <c r="B14" s="124">
        <v>2022</v>
      </c>
      <c r="C14" s="124">
        <v>2023</v>
      </c>
      <c r="D14" s="124">
        <v>2024</v>
      </c>
      <c r="E14" s="124">
        <v>2025</v>
      </c>
      <c r="F14" s="124">
        <v>2026</v>
      </c>
      <c r="G14" s="124">
        <v>2027</v>
      </c>
      <c r="H14" s="124">
        <v>2028</v>
      </c>
      <c r="I14" s="124">
        <v>2029</v>
      </c>
      <c r="J14" s="124">
        <v>2030</v>
      </c>
      <c r="K14" s="124">
        <v>2031</v>
      </c>
      <c r="L14" s="124">
        <v>2032</v>
      </c>
      <c r="X14" s="85"/>
      <c r="Y14" s="85"/>
      <c r="Z14" s="85"/>
      <c r="AA14" s="85"/>
      <c r="AB14" s="85"/>
      <c r="AC14" s="85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</row>
    <row r="15" spans="1:133" s="129" customFormat="1" ht="13.5" customHeight="1">
      <c r="A15" s="51" t="str">
        <f>A5</f>
        <v>НФС с облицовкой кирпичной кладкой</v>
      </c>
      <c r="B15" s="391">
        <f>SUM(B5:M5)</f>
        <v>0</v>
      </c>
      <c r="C15" s="71">
        <f t="shared" ref="C15:C21" si="4">SUM(N5:Y5)</f>
        <v>32.300000000000004</v>
      </c>
      <c r="D15" s="71">
        <f t="shared" ref="D15:D20" si="5">SUM(Z5:AK5)</f>
        <v>3578.84</v>
      </c>
      <c r="E15" s="71">
        <f t="shared" ref="E15:E20" si="6">SUM(AL5:AW5)</f>
        <v>4605.5999999999995</v>
      </c>
      <c r="F15" s="71">
        <f t="shared" ref="F15:F20" si="7">SUM(AX5:BI5)</f>
        <v>4605.5999999999995</v>
      </c>
      <c r="G15" s="71">
        <f t="shared" ref="G15:G20" si="8">SUM(BJ5:BU5)</f>
        <v>4605.5999999999995</v>
      </c>
      <c r="H15" s="71">
        <f t="shared" ref="H15:H20" si="9">SUM(BV5:CG5)</f>
        <v>4605.5999999999995</v>
      </c>
      <c r="I15" s="71">
        <f t="shared" ref="I15:I20" si="10">SUM(CH5:CS5)</f>
        <v>4605.5999999999995</v>
      </c>
      <c r="J15" s="71">
        <f t="shared" ref="J15:J20" si="11">SUM(CT5:DE5)</f>
        <v>4605.5999999999995</v>
      </c>
      <c r="K15" s="71">
        <f t="shared" ref="K15:K20" si="12">SUM(DF5:DQ5)</f>
        <v>4605.5999999999995</v>
      </c>
      <c r="L15" s="71">
        <f t="shared" ref="L15:L20" si="13">SUM(DR5:EC5)</f>
        <v>4605.5999999999995</v>
      </c>
      <c r="M15" s="62"/>
      <c r="X15" s="85"/>
      <c r="Y15" s="85"/>
      <c r="Z15" s="85"/>
      <c r="AA15" s="85"/>
      <c r="AB15" s="85"/>
      <c r="AC15" s="85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</row>
    <row r="16" spans="1:133" s="129" customFormat="1" ht="13.5" customHeight="1">
      <c r="A16" s="51" t="str">
        <f t="shared" ref="A16:A19" si="14">A6</f>
        <v>НФС с облицовкой СФБ</v>
      </c>
      <c r="B16" s="391">
        <f t="shared" ref="B16:B20" si="15">SUM(B6:M6)</f>
        <v>0</v>
      </c>
      <c r="C16" s="71">
        <f t="shared" si="4"/>
        <v>225.25000000000003</v>
      </c>
      <c r="D16" s="71">
        <f t="shared" si="5"/>
        <v>24957.7</v>
      </c>
      <c r="E16" s="71">
        <f t="shared" si="6"/>
        <v>32118</v>
      </c>
      <c r="F16" s="71">
        <f t="shared" si="7"/>
        <v>32118</v>
      </c>
      <c r="G16" s="71">
        <f t="shared" si="8"/>
        <v>32118</v>
      </c>
      <c r="H16" s="71">
        <f t="shared" si="9"/>
        <v>32118</v>
      </c>
      <c r="I16" s="71">
        <f t="shared" si="10"/>
        <v>32118</v>
      </c>
      <c r="J16" s="71">
        <f t="shared" si="11"/>
        <v>32118</v>
      </c>
      <c r="K16" s="71">
        <f t="shared" si="12"/>
        <v>32118</v>
      </c>
      <c r="L16" s="71">
        <f t="shared" si="13"/>
        <v>32118</v>
      </c>
      <c r="M16" s="62"/>
      <c r="X16" s="85"/>
      <c r="Y16" s="85"/>
      <c r="Z16" s="85"/>
      <c r="AA16" s="85"/>
      <c r="AB16" s="85"/>
      <c r="AC16" s="85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</row>
    <row r="17" spans="1:133" s="129" customFormat="1" ht="13.5" customHeight="1">
      <c r="A17" s="51" t="str">
        <f t="shared" si="14"/>
        <v>НФС с облицовкой натуральным камнем</v>
      </c>
      <c r="B17" s="391">
        <f t="shared" si="15"/>
        <v>0</v>
      </c>
      <c r="C17" s="71">
        <f t="shared" si="4"/>
        <v>255.00000000000003</v>
      </c>
      <c r="D17" s="71">
        <f t="shared" si="5"/>
        <v>28254</v>
      </c>
      <c r="E17" s="71">
        <f t="shared" si="6"/>
        <v>36360</v>
      </c>
      <c r="F17" s="71">
        <f t="shared" si="7"/>
        <v>36360</v>
      </c>
      <c r="G17" s="71">
        <f t="shared" si="8"/>
        <v>36360</v>
      </c>
      <c r="H17" s="71">
        <f t="shared" si="9"/>
        <v>36360</v>
      </c>
      <c r="I17" s="71">
        <f t="shared" si="10"/>
        <v>36360</v>
      </c>
      <c r="J17" s="71">
        <f t="shared" si="11"/>
        <v>36360</v>
      </c>
      <c r="K17" s="71">
        <f t="shared" si="12"/>
        <v>36360</v>
      </c>
      <c r="L17" s="71">
        <f t="shared" si="13"/>
        <v>36360</v>
      </c>
      <c r="M17" s="62"/>
      <c r="X17" s="85"/>
      <c r="Y17" s="85"/>
      <c r="Z17" s="85"/>
      <c r="AA17" s="85"/>
      <c r="AB17" s="85"/>
      <c r="AC17" s="85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</row>
    <row r="18" spans="1:133" s="129" customFormat="1" ht="13.5" customHeight="1">
      <c r="A18" s="51" t="str">
        <f t="shared" si="14"/>
        <v>НФС с облицовкой клинкерной плиткой</v>
      </c>
      <c r="B18" s="391">
        <f t="shared" si="15"/>
        <v>0</v>
      </c>
      <c r="C18" s="71">
        <f t="shared" si="4"/>
        <v>93.5</v>
      </c>
      <c r="D18" s="71">
        <f t="shared" si="5"/>
        <v>10359.800000000001</v>
      </c>
      <c r="E18" s="71">
        <f t="shared" si="6"/>
        <v>13332</v>
      </c>
      <c r="F18" s="71">
        <f t="shared" si="7"/>
        <v>13332</v>
      </c>
      <c r="G18" s="71">
        <f t="shared" si="8"/>
        <v>13332</v>
      </c>
      <c r="H18" s="71">
        <f t="shared" si="9"/>
        <v>13332</v>
      </c>
      <c r="I18" s="71">
        <f t="shared" si="10"/>
        <v>13332</v>
      </c>
      <c r="J18" s="71">
        <f t="shared" si="11"/>
        <v>13332</v>
      </c>
      <c r="K18" s="71">
        <f t="shared" si="12"/>
        <v>13332</v>
      </c>
      <c r="L18" s="71">
        <f t="shared" si="13"/>
        <v>13332</v>
      </c>
      <c r="M18" s="62"/>
      <c r="X18" s="85"/>
      <c r="Y18" s="85"/>
      <c r="Z18" s="85"/>
      <c r="AA18" s="85"/>
      <c r="AB18" s="85"/>
      <c r="AC18" s="85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</row>
    <row r="19" spans="1:133" s="129" customFormat="1" ht="13.5" customHeight="1">
      <c r="A19" s="51" t="str">
        <f t="shared" si="14"/>
        <v>НФС с облицовкой керамогранитом</v>
      </c>
      <c r="B19" s="391">
        <f t="shared" si="15"/>
        <v>0</v>
      </c>
      <c r="C19" s="71">
        <f t="shared" si="4"/>
        <v>59.500000000000007</v>
      </c>
      <c r="D19" s="71">
        <f t="shared" si="5"/>
        <v>6592.6</v>
      </c>
      <c r="E19" s="71">
        <f t="shared" si="6"/>
        <v>8484</v>
      </c>
      <c r="F19" s="71">
        <f t="shared" si="7"/>
        <v>8484</v>
      </c>
      <c r="G19" s="71">
        <f t="shared" si="8"/>
        <v>8484</v>
      </c>
      <c r="H19" s="71">
        <f t="shared" si="9"/>
        <v>8484</v>
      </c>
      <c r="I19" s="71">
        <f t="shared" si="10"/>
        <v>8484</v>
      </c>
      <c r="J19" s="71">
        <f t="shared" si="11"/>
        <v>8484</v>
      </c>
      <c r="K19" s="71">
        <f t="shared" si="12"/>
        <v>8484</v>
      </c>
      <c r="L19" s="71">
        <f t="shared" si="13"/>
        <v>8484</v>
      </c>
      <c r="M19" s="62"/>
      <c r="X19" s="85"/>
      <c r="Y19" s="85"/>
      <c r="Z19" s="85"/>
      <c r="AA19" s="85"/>
      <c r="AB19" s="85"/>
      <c r="AC19" s="85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</row>
    <row r="20" spans="1:133" s="129" customFormat="1" ht="13.5" customHeight="1">
      <c r="A20" s="51" t="str">
        <f>A10</f>
        <v>Сдача в аренду цехов</v>
      </c>
      <c r="B20" s="391">
        <f t="shared" si="15"/>
        <v>0</v>
      </c>
      <c r="C20" s="71">
        <f t="shared" si="4"/>
        <v>0</v>
      </c>
      <c r="D20" s="71">
        <f t="shared" si="5"/>
        <v>0</v>
      </c>
      <c r="E20" s="71">
        <f t="shared" si="6"/>
        <v>0</v>
      </c>
      <c r="F20" s="71">
        <f t="shared" si="7"/>
        <v>18000</v>
      </c>
      <c r="G20" s="71">
        <f t="shared" si="8"/>
        <v>36000</v>
      </c>
      <c r="H20" s="71">
        <f t="shared" si="9"/>
        <v>36000</v>
      </c>
      <c r="I20" s="71">
        <f t="shared" si="10"/>
        <v>36000</v>
      </c>
      <c r="J20" s="71">
        <f t="shared" si="11"/>
        <v>36000</v>
      </c>
      <c r="K20" s="71">
        <f t="shared" si="12"/>
        <v>36000</v>
      </c>
      <c r="L20" s="71">
        <f t="shared" si="13"/>
        <v>36000</v>
      </c>
      <c r="M20" s="62"/>
      <c r="X20" s="85"/>
      <c r="Y20" s="85"/>
      <c r="Z20" s="85"/>
      <c r="AA20" s="85"/>
      <c r="AB20" s="85"/>
      <c r="AC20" s="85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</row>
    <row r="21" spans="1:133" s="62" customFormat="1" ht="13.5" customHeight="1">
      <c r="A21" s="125" t="s">
        <v>403</v>
      </c>
      <c r="B21" s="105">
        <f>SUM(B11:M11)</f>
        <v>0</v>
      </c>
      <c r="C21" s="105">
        <f t="shared" si="4"/>
        <v>665.55000000000007</v>
      </c>
      <c r="D21" s="105">
        <f>D15+D16+D17</f>
        <v>56790.54</v>
      </c>
      <c r="E21" s="105">
        <f t="shared" ref="E21:L21" si="16">E15+E16+E17</f>
        <v>73083.600000000006</v>
      </c>
      <c r="F21" s="105">
        <f t="shared" si="16"/>
        <v>73083.600000000006</v>
      </c>
      <c r="G21" s="105">
        <f t="shared" si="16"/>
        <v>73083.600000000006</v>
      </c>
      <c r="H21" s="105">
        <f t="shared" si="16"/>
        <v>73083.600000000006</v>
      </c>
      <c r="I21" s="105">
        <f t="shared" si="16"/>
        <v>73083.600000000006</v>
      </c>
      <c r="J21" s="105">
        <f t="shared" si="16"/>
        <v>73083.600000000006</v>
      </c>
      <c r="K21" s="105">
        <f t="shared" si="16"/>
        <v>73083.600000000006</v>
      </c>
      <c r="L21" s="105">
        <f t="shared" si="16"/>
        <v>73083.600000000006</v>
      </c>
      <c r="X21" s="85"/>
      <c r="Y21" s="85"/>
      <c r="Z21" s="85"/>
      <c r="AA21" s="85"/>
      <c r="AB21" s="85"/>
      <c r="AC21" s="85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</row>
    <row r="22" spans="1:133" s="62" customFormat="1" ht="13.5" customHeight="1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250"/>
      <c r="AE22" s="250"/>
      <c r="AF22" s="250"/>
      <c r="AG22" s="250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133" s="62" customFormat="1" ht="13.5" customHeight="1" thickBo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133" s="80" customFormat="1" ht="13.5" customHeight="1">
      <c r="A24" s="79" t="s">
        <v>111</v>
      </c>
      <c r="B24" s="439">
        <v>2022</v>
      </c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1"/>
      <c r="N24" s="439">
        <f t="shared" ref="N24" si="17">N2</f>
        <v>2023</v>
      </c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1"/>
      <c r="Z24" s="439">
        <f>Z2</f>
        <v>2024</v>
      </c>
      <c r="AA24" s="440"/>
      <c r="AB24" s="440"/>
      <c r="AC24" s="440"/>
      <c r="AD24" s="440"/>
      <c r="AE24" s="440"/>
      <c r="AF24" s="440"/>
      <c r="AG24" s="440"/>
      <c r="AH24" s="440"/>
      <c r="AI24" s="440"/>
      <c r="AJ24" s="440"/>
      <c r="AK24" s="441"/>
      <c r="AL24" s="439">
        <f>AL2</f>
        <v>2025</v>
      </c>
      <c r="AM24" s="440"/>
      <c r="AN24" s="440"/>
      <c r="AO24" s="440"/>
      <c r="AP24" s="440"/>
      <c r="AQ24" s="440"/>
      <c r="AR24" s="440"/>
      <c r="AS24" s="440"/>
      <c r="AT24" s="440"/>
      <c r="AU24" s="440"/>
      <c r="AV24" s="440"/>
      <c r="AW24" s="441"/>
      <c r="AX24" s="439">
        <f>AX2</f>
        <v>2026</v>
      </c>
      <c r="AY24" s="440"/>
      <c r="AZ24" s="440"/>
      <c r="BA24" s="440"/>
      <c r="BB24" s="440"/>
      <c r="BC24" s="440"/>
      <c r="BD24" s="440"/>
      <c r="BE24" s="440"/>
      <c r="BF24" s="440"/>
      <c r="BG24" s="440"/>
      <c r="BH24" s="440"/>
      <c r="BI24" s="441"/>
      <c r="BJ24" s="439">
        <f>BJ2</f>
        <v>2027</v>
      </c>
      <c r="BK24" s="440"/>
      <c r="BL24" s="440"/>
      <c r="BM24" s="440"/>
      <c r="BN24" s="440"/>
      <c r="BO24" s="440"/>
      <c r="BP24" s="440"/>
      <c r="BQ24" s="440"/>
      <c r="BR24" s="440"/>
      <c r="BS24" s="440"/>
      <c r="BT24" s="440"/>
      <c r="BU24" s="441"/>
      <c r="BV24" s="439">
        <f>BV2</f>
        <v>2028</v>
      </c>
      <c r="BW24" s="440"/>
      <c r="BX24" s="440"/>
      <c r="BY24" s="440"/>
      <c r="BZ24" s="440"/>
      <c r="CA24" s="440"/>
      <c r="CB24" s="440"/>
      <c r="CC24" s="440"/>
      <c r="CD24" s="440"/>
      <c r="CE24" s="440"/>
      <c r="CF24" s="440"/>
      <c r="CG24" s="441"/>
      <c r="CH24" s="439">
        <f>CH2</f>
        <v>2029</v>
      </c>
      <c r="CI24" s="440"/>
      <c r="CJ24" s="440"/>
      <c r="CK24" s="440"/>
      <c r="CL24" s="440"/>
      <c r="CM24" s="440"/>
      <c r="CN24" s="440"/>
      <c r="CO24" s="440"/>
      <c r="CP24" s="440"/>
      <c r="CQ24" s="440"/>
      <c r="CR24" s="440"/>
      <c r="CS24" s="441"/>
      <c r="CT24" s="439">
        <f>CT2</f>
        <v>2030</v>
      </c>
      <c r="CU24" s="440"/>
      <c r="CV24" s="440"/>
      <c r="CW24" s="440"/>
      <c r="CX24" s="440"/>
      <c r="CY24" s="440"/>
      <c r="CZ24" s="440"/>
      <c r="DA24" s="440"/>
      <c r="DB24" s="440"/>
      <c r="DC24" s="440"/>
      <c r="DD24" s="440"/>
      <c r="DE24" s="441"/>
      <c r="DF24" s="439">
        <f>DF2</f>
        <v>2031</v>
      </c>
      <c r="DG24" s="440"/>
      <c r="DH24" s="440"/>
      <c r="DI24" s="440"/>
      <c r="DJ24" s="440"/>
      <c r="DK24" s="440"/>
      <c r="DL24" s="440"/>
      <c r="DM24" s="440"/>
      <c r="DN24" s="440"/>
      <c r="DO24" s="440"/>
      <c r="DP24" s="440"/>
      <c r="DQ24" s="441"/>
      <c r="DR24" s="439">
        <f>DR2</f>
        <v>2032</v>
      </c>
      <c r="DS24" s="440"/>
      <c r="DT24" s="440"/>
      <c r="DU24" s="440"/>
      <c r="DV24" s="440"/>
      <c r="DW24" s="440"/>
      <c r="DX24" s="440"/>
      <c r="DY24" s="440"/>
      <c r="DZ24" s="440"/>
      <c r="EA24" s="440"/>
      <c r="EB24" s="440"/>
      <c r="EC24" s="441"/>
    </row>
    <row r="25" spans="1:133" s="81" customFormat="1" ht="13.5" customHeight="1">
      <c r="A25" s="228" t="s">
        <v>9</v>
      </c>
      <c r="B25" s="87">
        <f t="shared" ref="B25:M25" si="18">B3</f>
        <v>44592</v>
      </c>
      <c r="C25" s="87">
        <f t="shared" si="18"/>
        <v>44620</v>
      </c>
      <c r="D25" s="87">
        <f t="shared" si="18"/>
        <v>44651</v>
      </c>
      <c r="E25" s="87">
        <f t="shared" si="18"/>
        <v>44681</v>
      </c>
      <c r="F25" s="87">
        <f t="shared" si="18"/>
        <v>44712</v>
      </c>
      <c r="G25" s="87">
        <f t="shared" si="18"/>
        <v>44742</v>
      </c>
      <c r="H25" s="87">
        <f t="shared" si="18"/>
        <v>44773</v>
      </c>
      <c r="I25" s="87">
        <f t="shared" si="18"/>
        <v>44804</v>
      </c>
      <c r="J25" s="87">
        <f t="shared" si="18"/>
        <v>44834</v>
      </c>
      <c r="K25" s="87">
        <f t="shared" si="18"/>
        <v>44865</v>
      </c>
      <c r="L25" s="87">
        <f t="shared" si="18"/>
        <v>44895</v>
      </c>
      <c r="M25" s="87">
        <f t="shared" si="18"/>
        <v>44926</v>
      </c>
      <c r="N25" s="87">
        <f t="shared" ref="N25:Y25" si="19">N3</f>
        <v>44957</v>
      </c>
      <c r="O25" s="87">
        <f t="shared" si="19"/>
        <v>44985</v>
      </c>
      <c r="P25" s="87">
        <f t="shared" si="19"/>
        <v>45016</v>
      </c>
      <c r="Q25" s="87">
        <f t="shared" si="19"/>
        <v>45046</v>
      </c>
      <c r="R25" s="87">
        <f t="shared" si="19"/>
        <v>45077</v>
      </c>
      <c r="S25" s="87">
        <f t="shared" si="19"/>
        <v>45107</v>
      </c>
      <c r="T25" s="87">
        <f t="shared" si="19"/>
        <v>45138</v>
      </c>
      <c r="U25" s="87">
        <f t="shared" si="19"/>
        <v>45169</v>
      </c>
      <c r="V25" s="87">
        <f t="shared" si="19"/>
        <v>45199</v>
      </c>
      <c r="W25" s="87">
        <f t="shared" si="19"/>
        <v>45230</v>
      </c>
      <c r="X25" s="87">
        <f t="shared" si="19"/>
        <v>45260</v>
      </c>
      <c r="Y25" s="87">
        <f t="shared" si="19"/>
        <v>45291</v>
      </c>
      <c r="Z25" s="87">
        <f>Z3</f>
        <v>45322</v>
      </c>
      <c r="AA25" s="87">
        <f t="shared" ref="AA25:AK25" si="20">AA3</f>
        <v>45351</v>
      </c>
      <c r="AB25" s="87">
        <f t="shared" si="20"/>
        <v>45382</v>
      </c>
      <c r="AC25" s="87">
        <f t="shared" si="20"/>
        <v>45412</v>
      </c>
      <c r="AD25" s="87">
        <f t="shared" si="20"/>
        <v>45443</v>
      </c>
      <c r="AE25" s="87">
        <f t="shared" si="20"/>
        <v>45473</v>
      </c>
      <c r="AF25" s="87">
        <f t="shared" si="20"/>
        <v>45504</v>
      </c>
      <c r="AG25" s="87">
        <f t="shared" si="20"/>
        <v>45535</v>
      </c>
      <c r="AH25" s="87">
        <f t="shared" si="20"/>
        <v>45565</v>
      </c>
      <c r="AI25" s="87">
        <f t="shared" si="20"/>
        <v>45596</v>
      </c>
      <c r="AJ25" s="87">
        <f t="shared" si="20"/>
        <v>45626</v>
      </c>
      <c r="AK25" s="87">
        <f t="shared" si="20"/>
        <v>45657</v>
      </c>
      <c r="AL25" s="87">
        <f>AL3</f>
        <v>45688</v>
      </c>
      <c r="AM25" s="87">
        <f t="shared" ref="AM25:AW25" si="21">AM3</f>
        <v>45716</v>
      </c>
      <c r="AN25" s="87">
        <f t="shared" si="21"/>
        <v>45747</v>
      </c>
      <c r="AO25" s="87">
        <f t="shared" si="21"/>
        <v>45777</v>
      </c>
      <c r="AP25" s="87">
        <f t="shared" si="21"/>
        <v>45808</v>
      </c>
      <c r="AQ25" s="87">
        <f t="shared" si="21"/>
        <v>45838</v>
      </c>
      <c r="AR25" s="87">
        <f t="shared" si="21"/>
        <v>45869</v>
      </c>
      <c r="AS25" s="87">
        <f t="shared" si="21"/>
        <v>45900</v>
      </c>
      <c r="AT25" s="87">
        <f t="shared" si="21"/>
        <v>45930</v>
      </c>
      <c r="AU25" s="87">
        <f t="shared" si="21"/>
        <v>45961</v>
      </c>
      <c r="AV25" s="87">
        <f t="shared" si="21"/>
        <v>45991</v>
      </c>
      <c r="AW25" s="87">
        <f t="shared" si="21"/>
        <v>46022</v>
      </c>
      <c r="AX25" s="87">
        <f>AX3</f>
        <v>46053</v>
      </c>
      <c r="AY25" s="87">
        <f t="shared" ref="AY25:BI25" si="22">AY3</f>
        <v>46081</v>
      </c>
      <c r="AZ25" s="87">
        <f t="shared" si="22"/>
        <v>46112</v>
      </c>
      <c r="BA25" s="87">
        <f t="shared" si="22"/>
        <v>46142</v>
      </c>
      <c r="BB25" s="87">
        <f t="shared" si="22"/>
        <v>46173</v>
      </c>
      <c r="BC25" s="87">
        <f t="shared" si="22"/>
        <v>46203</v>
      </c>
      <c r="BD25" s="87">
        <f t="shared" si="22"/>
        <v>46234</v>
      </c>
      <c r="BE25" s="87">
        <f t="shared" si="22"/>
        <v>46265</v>
      </c>
      <c r="BF25" s="87">
        <f t="shared" si="22"/>
        <v>46295</v>
      </c>
      <c r="BG25" s="87">
        <f t="shared" si="22"/>
        <v>46326</v>
      </c>
      <c r="BH25" s="87">
        <f t="shared" si="22"/>
        <v>46356</v>
      </c>
      <c r="BI25" s="87">
        <f t="shared" si="22"/>
        <v>46387</v>
      </c>
      <c r="BJ25" s="87">
        <f>BJ3</f>
        <v>46418</v>
      </c>
      <c r="BK25" s="87">
        <f t="shared" ref="BK25:BU25" si="23">BK3</f>
        <v>46446</v>
      </c>
      <c r="BL25" s="87">
        <f t="shared" si="23"/>
        <v>46477</v>
      </c>
      <c r="BM25" s="87">
        <f t="shared" si="23"/>
        <v>46507</v>
      </c>
      <c r="BN25" s="87">
        <f t="shared" si="23"/>
        <v>46538</v>
      </c>
      <c r="BO25" s="87">
        <f t="shared" si="23"/>
        <v>46568</v>
      </c>
      <c r="BP25" s="87">
        <f t="shared" si="23"/>
        <v>46599</v>
      </c>
      <c r="BQ25" s="87">
        <f t="shared" si="23"/>
        <v>46630</v>
      </c>
      <c r="BR25" s="87">
        <f t="shared" si="23"/>
        <v>46660</v>
      </c>
      <c r="BS25" s="87">
        <f t="shared" si="23"/>
        <v>46691</v>
      </c>
      <c r="BT25" s="87">
        <f t="shared" si="23"/>
        <v>46721</v>
      </c>
      <c r="BU25" s="87">
        <f t="shared" si="23"/>
        <v>46752</v>
      </c>
      <c r="BV25" s="87">
        <f>BV3</f>
        <v>46783</v>
      </c>
      <c r="BW25" s="87">
        <f t="shared" ref="BW25:CG25" si="24">BW3</f>
        <v>46812</v>
      </c>
      <c r="BX25" s="87">
        <f t="shared" si="24"/>
        <v>46843</v>
      </c>
      <c r="BY25" s="87">
        <f t="shared" si="24"/>
        <v>46873</v>
      </c>
      <c r="BZ25" s="87">
        <f t="shared" si="24"/>
        <v>46904</v>
      </c>
      <c r="CA25" s="87">
        <f t="shared" si="24"/>
        <v>46934</v>
      </c>
      <c r="CB25" s="87">
        <f t="shared" si="24"/>
        <v>46965</v>
      </c>
      <c r="CC25" s="87">
        <f t="shared" si="24"/>
        <v>46996</v>
      </c>
      <c r="CD25" s="87">
        <f t="shared" si="24"/>
        <v>47026</v>
      </c>
      <c r="CE25" s="87">
        <f t="shared" si="24"/>
        <v>47057</v>
      </c>
      <c r="CF25" s="87">
        <f t="shared" si="24"/>
        <v>47087</v>
      </c>
      <c r="CG25" s="87">
        <f t="shared" si="24"/>
        <v>47118</v>
      </c>
      <c r="CH25" s="87">
        <f>CH3</f>
        <v>47149</v>
      </c>
      <c r="CI25" s="87">
        <f t="shared" ref="CI25:CS25" si="25">CI3</f>
        <v>47177</v>
      </c>
      <c r="CJ25" s="87">
        <f t="shared" si="25"/>
        <v>47208</v>
      </c>
      <c r="CK25" s="87">
        <f t="shared" si="25"/>
        <v>47238</v>
      </c>
      <c r="CL25" s="87">
        <f t="shared" si="25"/>
        <v>47269</v>
      </c>
      <c r="CM25" s="87">
        <f t="shared" si="25"/>
        <v>47299</v>
      </c>
      <c r="CN25" s="87">
        <f t="shared" si="25"/>
        <v>47330</v>
      </c>
      <c r="CO25" s="87">
        <f t="shared" si="25"/>
        <v>47361</v>
      </c>
      <c r="CP25" s="87">
        <f t="shared" si="25"/>
        <v>47391</v>
      </c>
      <c r="CQ25" s="87">
        <f t="shared" si="25"/>
        <v>47422</v>
      </c>
      <c r="CR25" s="87">
        <f t="shared" si="25"/>
        <v>47452</v>
      </c>
      <c r="CS25" s="87">
        <f t="shared" si="25"/>
        <v>47483</v>
      </c>
      <c r="CT25" s="87">
        <f>CT3</f>
        <v>47514</v>
      </c>
      <c r="CU25" s="87">
        <f t="shared" ref="CU25:DE25" si="26">CU3</f>
        <v>47542</v>
      </c>
      <c r="CV25" s="87">
        <f t="shared" si="26"/>
        <v>47573</v>
      </c>
      <c r="CW25" s="87">
        <f t="shared" si="26"/>
        <v>47603</v>
      </c>
      <c r="CX25" s="87">
        <f t="shared" si="26"/>
        <v>47634</v>
      </c>
      <c r="CY25" s="87">
        <f t="shared" si="26"/>
        <v>47664</v>
      </c>
      <c r="CZ25" s="87">
        <f t="shared" si="26"/>
        <v>47695</v>
      </c>
      <c r="DA25" s="87">
        <f t="shared" si="26"/>
        <v>47726</v>
      </c>
      <c r="DB25" s="87">
        <f t="shared" si="26"/>
        <v>47756</v>
      </c>
      <c r="DC25" s="87">
        <f t="shared" si="26"/>
        <v>47787</v>
      </c>
      <c r="DD25" s="87">
        <f t="shared" si="26"/>
        <v>47817</v>
      </c>
      <c r="DE25" s="87">
        <f t="shared" si="26"/>
        <v>47848</v>
      </c>
      <c r="DF25" s="87">
        <f>DF3</f>
        <v>47879</v>
      </c>
      <c r="DG25" s="87">
        <f t="shared" ref="DG25:DQ25" si="27">DG3</f>
        <v>47907</v>
      </c>
      <c r="DH25" s="87">
        <f t="shared" si="27"/>
        <v>47938</v>
      </c>
      <c r="DI25" s="87">
        <f t="shared" si="27"/>
        <v>47968</v>
      </c>
      <c r="DJ25" s="87">
        <f t="shared" si="27"/>
        <v>47999</v>
      </c>
      <c r="DK25" s="87">
        <f t="shared" si="27"/>
        <v>48029</v>
      </c>
      <c r="DL25" s="87">
        <f t="shared" si="27"/>
        <v>48060</v>
      </c>
      <c r="DM25" s="87">
        <f t="shared" si="27"/>
        <v>48091</v>
      </c>
      <c r="DN25" s="87">
        <f t="shared" si="27"/>
        <v>48121</v>
      </c>
      <c r="DO25" s="87">
        <f t="shared" si="27"/>
        <v>48152</v>
      </c>
      <c r="DP25" s="87">
        <f t="shared" si="27"/>
        <v>48182</v>
      </c>
      <c r="DQ25" s="87">
        <f t="shared" si="27"/>
        <v>48213</v>
      </c>
      <c r="DR25" s="87">
        <f>DR3</f>
        <v>48244</v>
      </c>
      <c r="DS25" s="87">
        <f t="shared" ref="DS25:EC25" si="28">DS3</f>
        <v>48273</v>
      </c>
      <c r="DT25" s="87">
        <f t="shared" si="28"/>
        <v>48304</v>
      </c>
      <c r="DU25" s="87">
        <f t="shared" si="28"/>
        <v>48334</v>
      </c>
      <c r="DV25" s="87">
        <f t="shared" si="28"/>
        <v>48365</v>
      </c>
      <c r="DW25" s="87">
        <f t="shared" si="28"/>
        <v>48395</v>
      </c>
      <c r="DX25" s="87">
        <f t="shared" si="28"/>
        <v>48426</v>
      </c>
      <c r="DY25" s="87">
        <f t="shared" si="28"/>
        <v>48457</v>
      </c>
      <c r="DZ25" s="87">
        <f t="shared" si="28"/>
        <v>48487</v>
      </c>
      <c r="EA25" s="87">
        <f t="shared" si="28"/>
        <v>48518</v>
      </c>
      <c r="EB25" s="87">
        <f t="shared" si="28"/>
        <v>48548</v>
      </c>
      <c r="EC25" s="87">
        <f t="shared" si="28"/>
        <v>48579</v>
      </c>
    </row>
    <row r="26" spans="1:133" s="60" customFormat="1" ht="13.5" customHeight="1">
      <c r="A26" s="51" t="str">
        <f>A15</f>
        <v>НФС с облицовкой кирпичной кладкой</v>
      </c>
      <c r="B26" s="376">
        <v>0</v>
      </c>
      <c r="C26" s="376">
        <v>0</v>
      </c>
      <c r="D26" s="376">
        <v>0</v>
      </c>
      <c r="E26" s="376">
        <v>0</v>
      </c>
      <c r="F26" s="376">
        <v>0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6">
        <v>0</v>
      </c>
      <c r="P26" s="376">
        <v>0</v>
      </c>
      <c r="Q26" s="376">
        <v>0</v>
      </c>
      <c r="R26" s="376">
        <v>0</v>
      </c>
      <c r="S26" s="376">
        <v>0</v>
      </c>
      <c r="T26" s="376">
        <v>0</v>
      </c>
      <c r="U26" s="376">
        <v>0</v>
      </c>
      <c r="V26" s="376">
        <v>0</v>
      </c>
      <c r="W26" s="376">
        <v>0</v>
      </c>
      <c r="X26" s="376">
        <v>0</v>
      </c>
      <c r="Y26" s="42">
        <f>Y5*'Прогноз цен'!B5</f>
        <v>212.46940000000004</v>
      </c>
      <c r="Z26" s="42">
        <f>Z5*'Прогноз цен'!$C$5</f>
        <v>139.97984000000002</v>
      </c>
      <c r="AA26" s="42">
        <f>AA5*'Прогноз цен'!$C$5</f>
        <v>359.94816000000003</v>
      </c>
      <c r="AB26" s="42">
        <f>AB5*'Прогноз цен'!$C$5</f>
        <v>899.8703999999999</v>
      </c>
      <c r="AC26" s="42">
        <f>AC5*'Прогноз цен'!$C$5</f>
        <v>1574.7731999999999</v>
      </c>
      <c r="AD26" s="42">
        <f>AD5*'Прогноз цен'!$C$5</f>
        <v>1599.7696000000001</v>
      </c>
      <c r="AE26" s="42">
        <f>AE5*'Прогноз цен'!$C$5</f>
        <v>1919.7235200000002</v>
      </c>
      <c r="AF26" s="42">
        <f>AF5*'Прогноз цен'!$C$5</f>
        <v>2239.6774400000004</v>
      </c>
      <c r="AG26" s="42">
        <f>AG5*'Прогноз цен'!$C$5</f>
        <v>2759.6025599999998</v>
      </c>
      <c r="AH26" s="42">
        <f>AH5*'Прогноз цен'!$C$5</f>
        <v>3359.5161600000001</v>
      </c>
      <c r="AI26" s="42">
        <f>AI5*'Прогноз цен'!$C$5</f>
        <v>3839.4470400000005</v>
      </c>
      <c r="AJ26" s="42">
        <f>AJ5*'Прогноз цен'!$C$5</f>
        <v>3999.424</v>
      </c>
      <c r="AK26" s="42">
        <f>AK5*'Прогноз цен'!$C$5</f>
        <v>849.87760000000014</v>
      </c>
      <c r="AL26" s="89">
        <f>AL5*'Прогноз цен'!$D$5</f>
        <v>419.93952000000007</v>
      </c>
      <c r="AM26" s="89">
        <f>AM5*'Прогноз цен'!$D$5</f>
        <v>839.87904000000015</v>
      </c>
      <c r="AN26" s="89">
        <f>AN5*'Прогноз цен'!$D$5</f>
        <v>1574.7732000000001</v>
      </c>
      <c r="AO26" s="89">
        <f>AO5*'Прогноз цен'!$D$5</f>
        <v>2204.6824799999999</v>
      </c>
      <c r="AP26" s="89">
        <f>AP5*'Прогноз цен'!$D$5</f>
        <v>2099.6976</v>
      </c>
      <c r="AQ26" s="89">
        <f>AQ5*'Прогноз цен'!$D$5</f>
        <v>2519.6371200000003</v>
      </c>
      <c r="AR26" s="89">
        <f>AR5*'Прогноз цен'!$D$5</f>
        <v>2939.5766400000002</v>
      </c>
      <c r="AS26" s="89">
        <f>AS5*'Прогноз цен'!$D$5</f>
        <v>3621.9783600000001</v>
      </c>
      <c r="AT26" s="89">
        <f>AT5*'Прогноз цен'!$D$5</f>
        <v>4409.3649599999999</v>
      </c>
      <c r="AU26" s="89">
        <f>AU5*'Прогноз цен'!$D$5</f>
        <v>5039.2742400000006</v>
      </c>
      <c r="AV26" s="89">
        <f>AV5*'Прогноз цен'!$D$5</f>
        <v>5249.2440000000006</v>
      </c>
      <c r="AW26" s="89">
        <f>AW5*'Прогноз цен'!$D$5</f>
        <v>892.37148000000013</v>
      </c>
      <c r="AX26" s="89">
        <f>AX5*'Прогноз цен'!$E$5</f>
        <v>440.93649600000003</v>
      </c>
      <c r="AY26" s="89">
        <f>AY5*'Прогноз цен'!$E$5</f>
        <v>881.87299200000007</v>
      </c>
      <c r="AZ26" s="89">
        <f>AZ5*'Прогноз цен'!$E$5</f>
        <v>1653.5118600000001</v>
      </c>
      <c r="BA26" s="89">
        <f>BA5*'Прогноз цен'!$E$5</f>
        <v>2314.916604</v>
      </c>
      <c r="BB26" s="89">
        <f>BB5*'Прогноз цен'!$E$5</f>
        <v>2204.6824799999999</v>
      </c>
      <c r="BC26" s="89">
        <f>BC5*'Прогноз цен'!$E$5</f>
        <v>2645.6189760000002</v>
      </c>
      <c r="BD26" s="89">
        <f>BD5*'Прогноз цен'!$E$5</f>
        <v>3086.5554720000005</v>
      </c>
      <c r="BE26" s="89">
        <f>BE5*'Прогноз цен'!$E$5</f>
        <v>3803.0772780000002</v>
      </c>
      <c r="BF26" s="89">
        <f>BF5*'Прогноз цен'!$E$5</f>
        <v>4629.833208</v>
      </c>
      <c r="BG26" s="89">
        <f>BG5*'Прогноз цен'!$E$5</f>
        <v>5291.2379520000004</v>
      </c>
      <c r="BH26" s="89">
        <f>BH5*'Прогноз цен'!$E$5</f>
        <v>5511.7062000000005</v>
      </c>
      <c r="BI26" s="89">
        <f>BI5*'Прогноз цен'!$E$5</f>
        <v>936.99005400000021</v>
      </c>
      <c r="BJ26" s="89">
        <f>BJ5*'Прогноз цен'!$F$5</f>
        <v>462.98332080000012</v>
      </c>
      <c r="BK26" s="89">
        <f>BK5*'Прогноз цен'!$F$5</f>
        <v>925.96664160000023</v>
      </c>
      <c r="BL26" s="89">
        <f>BL5*'Прогноз цен'!$F$5</f>
        <v>1736.1874530000002</v>
      </c>
      <c r="BM26" s="89">
        <f>BM5*'Прогноз цен'!$F$5</f>
        <v>2430.6624342</v>
      </c>
      <c r="BN26" s="89">
        <f>BN5*'Прогноз цен'!$F$5</f>
        <v>2314.9166040000005</v>
      </c>
      <c r="BO26" s="89">
        <f>BO5*'Прогноз цен'!$F$5</f>
        <v>2777.8999248000005</v>
      </c>
      <c r="BP26" s="89">
        <f>BP5*'Прогноз цен'!$F$5</f>
        <v>3240.8832456000005</v>
      </c>
      <c r="BQ26" s="89">
        <f>BQ5*'Прогноз цен'!$F$5</f>
        <v>3993.2311419000002</v>
      </c>
      <c r="BR26" s="89">
        <f>BR5*'Прогноз цен'!$F$5</f>
        <v>4861.3248684</v>
      </c>
      <c r="BS26" s="89">
        <f>BS5*'Прогноз цен'!$F$5</f>
        <v>5555.7998496000009</v>
      </c>
      <c r="BT26" s="89">
        <f>BT5*'Прогноз цен'!$F$5</f>
        <v>5787.2915100000009</v>
      </c>
      <c r="BU26" s="89">
        <f>BU5*'Прогноз цен'!$F$5</f>
        <v>983.83955670000023</v>
      </c>
      <c r="BV26" s="89">
        <f>BV5*'Прогноз цен'!$G$5</f>
        <v>486.13248684000007</v>
      </c>
      <c r="BW26" s="89">
        <f>BW5*'Прогноз цен'!$G$5</f>
        <v>972.26497368000014</v>
      </c>
      <c r="BX26" s="89">
        <f>BX5*'Прогноз цен'!$G$5</f>
        <v>1822.9968256500001</v>
      </c>
      <c r="BY26" s="89">
        <f>BY5*'Прогноз цен'!$G$5</f>
        <v>2552.1955559100002</v>
      </c>
      <c r="BZ26" s="89">
        <f>BZ5*'Прогноз цен'!$G$5</f>
        <v>2430.6624342000005</v>
      </c>
      <c r="CA26" s="89">
        <f>CA5*'Прогноз цен'!$G$5</f>
        <v>2916.7949210400006</v>
      </c>
      <c r="CB26" s="89">
        <f>CB5*'Прогноз цен'!$G$5</f>
        <v>3402.9274078800004</v>
      </c>
      <c r="CC26" s="89">
        <f>CC5*'Прогноз цен'!$G$5</f>
        <v>4192.8926989950005</v>
      </c>
      <c r="CD26" s="89">
        <f>CD5*'Прогноз цен'!$G$5</f>
        <v>5104.3911118200003</v>
      </c>
      <c r="CE26" s="89">
        <f>CE5*'Прогноз цен'!$G$5</f>
        <v>5833.5898420800013</v>
      </c>
      <c r="CF26" s="89">
        <f>CF5*'Прогноз цен'!$G$5</f>
        <v>6076.6560855000007</v>
      </c>
      <c r="CG26" s="89">
        <f>CG5*'Прогноз цен'!$G$5</f>
        <v>1033.0315345350002</v>
      </c>
      <c r="CH26" s="89">
        <f>CH5*'Прогноз цен'!$H$5</f>
        <v>510.43911118200009</v>
      </c>
      <c r="CI26" s="89">
        <f>CI5*'Прогноз цен'!$H$5</f>
        <v>1020.8782223640002</v>
      </c>
      <c r="CJ26" s="89">
        <f>CJ5*'Прогноз цен'!$H$5</f>
        <v>1914.1466669325002</v>
      </c>
      <c r="CK26" s="89">
        <f>CK5*'Прогноз цен'!$H$5</f>
        <v>2679.8053337055003</v>
      </c>
      <c r="CL26" s="89">
        <f>CL5*'Прогноз цен'!$H$5</f>
        <v>2552.1955559100002</v>
      </c>
      <c r="CM26" s="89">
        <f>CM5*'Прогноз цен'!$H$5</f>
        <v>3062.6346670920002</v>
      </c>
      <c r="CN26" s="89">
        <f>CN5*'Прогноз цен'!$H$5</f>
        <v>3573.0737782740007</v>
      </c>
      <c r="CO26" s="89">
        <f>CO5*'Прогноз цен'!$H$5</f>
        <v>4402.5373339447506</v>
      </c>
      <c r="CP26" s="89">
        <f>CP5*'Прогноз цен'!$H$5</f>
        <v>5359.6106674110006</v>
      </c>
      <c r="CQ26" s="89">
        <f>CQ5*'Прогноз цен'!$H$5</f>
        <v>6125.2693341840004</v>
      </c>
      <c r="CR26" s="89">
        <f>CR5*'Прогноз цен'!$H$5</f>
        <v>6380.4888897750006</v>
      </c>
      <c r="CS26" s="89">
        <f>CS5*'Прогноз цен'!$H$5</f>
        <v>1084.6831112617501</v>
      </c>
      <c r="CT26" s="89">
        <f>CT5*'Прогноз цен'!$I$5</f>
        <v>535.96106674110013</v>
      </c>
      <c r="CU26" s="89">
        <f>CU5*'Прогноз цен'!$I$5</f>
        <v>1071.9221334822003</v>
      </c>
      <c r="CV26" s="89">
        <f>CV5*'Прогноз цен'!$I$5</f>
        <v>2009.8540002791251</v>
      </c>
      <c r="CW26" s="89">
        <f>CW5*'Прогноз цен'!$I$5</f>
        <v>2813.7956003907752</v>
      </c>
      <c r="CX26" s="89">
        <f>CX5*'Прогноз цен'!$I$5</f>
        <v>2679.8053337055003</v>
      </c>
      <c r="CY26" s="89">
        <f>CY5*'Прогноз цен'!$I$5</f>
        <v>3215.7664004466005</v>
      </c>
      <c r="CZ26" s="89">
        <f>CZ5*'Прогноз цен'!$I$5</f>
        <v>3751.7274671877008</v>
      </c>
      <c r="DA26" s="89">
        <f>DA5*'Прогноз цен'!$I$5</f>
        <v>4622.6642006419879</v>
      </c>
      <c r="DB26" s="89">
        <f>DB5*'Прогноз цен'!$I$5</f>
        <v>5627.5912007815505</v>
      </c>
      <c r="DC26" s="89">
        <f>DC5*'Прогноз цен'!$I$5</f>
        <v>6431.5328008932011</v>
      </c>
      <c r="DD26" s="89">
        <f>DD5*'Прогноз цен'!$I$5</f>
        <v>6699.5133342637509</v>
      </c>
      <c r="DE26" s="89">
        <f>DE5*'Прогноз цен'!$I$5</f>
        <v>1138.9172668248377</v>
      </c>
      <c r="DF26" s="89">
        <f>DF5*'Прогноз цен'!$J$5</f>
        <v>562.75912007815509</v>
      </c>
      <c r="DG26" s="89">
        <f>DG5*'Прогноз цен'!$J$5</f>
        <v>1125.5182401563102</v>
      </c>
      <c r="DH26" s="89">
        <f>DH5*'Прогноз цен'!$J$5</f>
        <v>2110.3467002930815</v>
      </c>
      <c r="DI26" s="89">
        <f>DI5*'Прогноз цен'!$J$5</f>
        <v>2954.4853804103141</v>
      </c>
      <c r="DJ26" s="89">
        <f>DJ5*'Прогноз цен'!$J$5</f>
        <v>2813.7956003907757</v>
      </c>
      <c r="DK26" s="89">
        <f>DK5*'Прогноз цен'!$J$5</f>
        <v>3376.5547204689306</v>
      </c>
      <c r="DL26" s="89">
        <f>DL5*'Прогноз цен'!$J$5</f>
        <v>3939.3138405470859</v>
      </c>
      <c r="DM26" s="89">
        <f>DM5*'Прогноз цен'!$J$5</f>
        <v>4853.7974106740876</v>
      </c>
      <c r="DN26" s="89">
        <f>DN5*'Прогноз цен'!$J$5</f>
        <v>5908.9707608206281</v>
      </c>
      <c r="DO26" s="89">
        <f>DO5*'Прогноз цен'!$J$5</f>
        <v>6753.1094409378611</v>
      </c>
      <c r="DP26" s="89">
        <f>DP5*'Прогноз цен'!$J$5</f>
        <v>7034.4890009769388</v>
      </c>
      <c r="DQ26" s="89">
        <f>DQ5*'Прогноз цен'!$J$5</f>
        <v>1195.8631301660798</v>
      </c>
      <c r="DR26" s="89">
        <f>DR5*'Прогноз цен'!$K$5</f>
        <v>590.89707608206288</v>
      </c>
      <c r="DS26" s="89">
        <f>DS5*'Прогноз цен'!$K$5</f>
        <v>1181.7941521641258</v>
      </c>
      <c r="DT26" s="89">
        <f>DT5*'Прогноз цен'!$K$5</f>
        <v>2215.8640353077358</v>
      </c>
      <c r="DU26" s="89">
        <f>DU5*'Прогноз цен'!$K$5</f>
        <v>3102.2096494308298</v>
      </c>
      <c r="DV26" s="89">
        <f>DV5*'Прогноз цен'!$K$5</f>
        <v>2954.4853804103145</v>
      </c>
      <c r="DW26" s="89">
        <f>DW5*'Прогноз цен'!$K$5</f>
        <v>3545.3824564923775</v>
      </c>
      <c r="DX26" s="89">
        <f>DX5*'Прогноз цен'!$K$5</f>
        <v>4136.2795325744401</v>
      </c>
      <c r="DY26" s="89">
        <f>DY5*'Прогноз цен'!$K$5</f>
        <v>5096.487281207792</v>
      </c>
      <c r="DZ26" s="89">
        <f>DZ5*'Прогноз цен'!$K$5</f>
        <v>6204.4192988616596</v>
      </c>
      <c r="EA26" s="89">
        <f>EA5*'Прогноз цен'!$K$5</f>
        <v>7090.764912984755</v>
      </c>
      <c r="EB26" s="89">
        <f>EB5*'Прогноз цен'!$K$5</f>
        <v>7386.2134510257856</v>
      </c>
      <c r="EC26" s="89">
        <f>EC5*'Прогноз цен'!$K$5</f>
        <v>1255.6562866743839</v>
      </c>
    </row>
    <row r="27" spans="1:133" s="60" customFormat="1" ht="13.5" customHeight="1">
      <c r="A27" s="51" t="str">
        <f t="shared" ref="A27:A31" si="29">A16</f>
        <v>НФС с облицовкой СФБ</v>
      </c>
      <c r="B27" s="376">
        <v>0</v>
      </c>
      <c r="C27" s="376">
        <v>0</v>
      </c>
      <c r="D27" s="376">
        <v>0</v>
      </c>
      <c r="E27" s="376">
        <v>0</v>
      </c>
      <c r="F27" s="376">
        <v>0</v>
      </c>
      <c r="G27" s="376">
        <v>0</v>
      </c>
      <c r="H27" s="376">
        <v>0</v>
      </c>
      <c r="I27" s="376">
        <v>0</v>
      </c>
      <c r="J27" s="376">
        <v>0</v>
      </c>
      <c r="K27" s="376">
        <v>0</v>
      </c>
      <c r="L27" s="376">
        <v>0</v>
      </c>
      <c r="M27" s="376">
        <v>0</v>
      </c>
      <c r="N27" s="376">
        <v>0</v>
      </c>
      <c r="O27" s="376">
        <v>0</v>
      </c>
      <c r="P27" s="376">
        <v>0</v>
      </c>
      <c r="Q27" s="376">
        <v>0</v>
      </c>
      <c r="R27" s="376">
        <v>0</v>
      </c>
      <c r="S27" s="376">
        <v>0</v>
      </c>
      <c r="T27" s="376">
        <v>0</v>
      </c>
      <c r="U27" s="376">
        <v>0</v>
      </c>
      <c r="V27" s="376">
        <v>0</v>
      </c>
      <c r="W27" s="376">
        <v>0</v>
      </c>
      <c r="X27" s="376">
        <v>0</v>
      </c>
      <c r="Y27" s="42">
        <f>Y6*'Прогноз цен'!B6</f>
        <v>2039.864</v>
      </c>
      <c r="Z27" s="42">
        <f>Z6*'Прогноз цен'!$C$6</f>
        <v>1343.9103999999998</v>
      </c>
      <c r="AA27" s="42">
        <f>AA6*'Прогноз цен'!$C$6</f>
        <v>3455.7696000000001</v>
      </c>
      <c r="AB27" s="42">
        <f>AB6*'Прогноз цен'!$C$6</f>
        <v>8639.4239999999991</v>
      </c>
      <c r="AC27" s="42">
        <f>AC6*'Прогноз цен'!$C$6</f>
        <v>15118.991999999998</v>
      </c>
      <c r="AD27" s="42">
        <f>AD6*'Прогноз цен'!$C$6</f>
        <v>15358.975999999999</v>
      </c>
      <c r="AE27" s="42">
        <f>AE6*'Прогноз цен'!$C$6</f>
        <v>18430.771199999999</v>
      </c>
      <c r="AF27" s="42">
        <f>AF6*'Прогноз цен'!$C$6</f>
        <v>21502.566400000003</v>
      </c>
      <c r="AG27" s="42">
        <f>AG6*'Прогноз цен'!$C$6</f>
        <v>26494.233599999996</v>
      </c>
      <c r="AH27" s="42">
        <f>AH6*'Прогноз цен'!$C$6</f>
        <v>32253.849600000001</v>
      </c>
      <c r="AI27" s="42">
        <f>AI6*'Прогноз цен'!$C$6</f>
        <v>36861.542399999998</v>
      </c>
      <c r="AJ27" s="42">
        <f>AJ6*'Прогноз цен'!$C$6</f>
        <v>38397.439999999995</v>
      </c>
      <c r="AK27" s="42">
        <f>AK6*'Прогноз цен'!$C$6</f>
        <v>8159.4560000000001</v>
      </c>
      <c r="AL27" s="89">
        <f>AL6*'Прогноз цен'!$D$6</f>
        <v>4031.7311999999997</v>
      </c>
      <c r="AM27" s="89">
        <f>AM6*'Прогноз цен'!$D$6</f>
        <v>8063.4623999999994</v>
      </c>
      <c r="AN27" s="89">
        <f>AN6*'Прогноз цен'!$D$6</f>
        <v>15118.991999999998</v>
      </c>
      <c r="AO27" s="89">
        <f>AO6*'Прогноз цен'!$D$6</f>
        <v>21166.588799999998</v>
      </c>
      <c r="AP27" s="89">
        <f>AP6*'Прогноз цен'!$D$6</f>
        <v>20158.655999999999</v>
      </c>
      <c r="AQ27" s="89">
        <f>AQ6*'Прогноз цен'!$D$6</f>
        <v>24190.387199999997</v>
      </c>
      <c r="AR27" s="89">
        <f>AR6*'Прогноз цен'!$D$6</f>
        <v>28222.118400000003</v>
      </c>
      <c r="AS27" s="89">
        <f>AS6*'Прогноз цен'!$D$6</f>
        <v>34773.681599999989</v>
      </c>
      <c r="AT27" s="89">
        <f>AT6*'Прогноз цен'!$D$6</f>
        <v>42333.177599999995</v>
      </c>
      <c r="AU27" s="89">
        <f>AU6*'Прогноз цен'!$D$6</f>
        <v>48380.774399999995</v>
      </c>
      <c r="AV27" s="89">
        <f>AV6*'Прогноз цен'!$D$6</f>
        <v>50396.639999999992</v>
      </c>
      <c r="AW27" s="89">
        <f>AW6*'Прогноз цен'!$D$6</f>
        <v>8567.4287999999997</v>
      </c>
      <c r="AX27" s="89">
        <f>AX6*'Прогноз цен'!$E$6</f>
        <v>4233.3177599999999</v>
      </c>
      <c r="AY27" s="89">
        <f>AY6*'Прогноз цен'!$E$6</f>
        <v>8466.6355199999998</v>
      </c>
      <c r="AZ27" s="89">
        <f>AZ6*'Прогноз цен'!$E$6</f>
        <v>15874.9416</v>
      </c>
      <c r="BA27" s="89">
        <f>BA6*'Прогноз цен'!$E$6</f>
        <v>22224.918239999999</v>
      </c>
      <c r="BB27" s="89">
        <f>BB6*'Прогноз цен'!$E$6</f>
        <v>21166.588799999998</v>
      </c>
      <c r="BC27" s="89">
        <f>BC6*'Прогноз цен'!$E$6</f>
        <v>25399.906559999999</v>
      </c>
      <c r="BD27" s="89">
        <f>BD6*'Прогноз цен'!$E$6</f>
        <v>29633.224320000005</v>
      </c>
      <c r="BE27" s="89">
        <f>BE6*'Прогноз цен'!$E$6</f>
        <v>36512.365679999995</v>
      </c>
      <c r="BF27" s="89">
        <f>BF6*'Прогноз цен'!$E$6</f>
        <v>44449.836479999998</v>
      </c>
      <c r="BG27" s="89">
        <f>BG6*'Прогноз цен'!$E$6</f>
        <v>50799.813119999999</v>
      </c>
      <c r="BH27" s="89">
        <f>BH6*'Прогноз цен'!$E$6</f>
        <v>52916.472000000002</v>
      </c>
      <c r="BI27" s="89">
        <f>BI6*'Прогноз цен'!$E$6</f>
        <v>8995.8002400000005</v>
      </c>
      <c r="BJ27" s="89">
        <f>BJ6*'Прогноз цен'!$F$6</f>
        <v>4444.9836479999994</v>
      </c>
      <c r="BK27" s="89">
        <f>BK6*'Прогноз цен'!$F$6</f>
        <v>8889.9672959999989</v>
      </c>
      <c r="BL27" s="89">
        <f>BL6*'Прогноз цен'!$F$6</f>
        <v>16668.688679999999</v>
      </c>
      <c r="BM27" s="89">
        <f>BM6*'Прогноз цен'!$F$6</f>
        <v>23336.164152000001</v>
      </c>
      <c r="BN27" s="89">
        <f>BN6*'Прогноз цен'!$F$6</f>
        <v>22224.918239999999</v>
      </c>
      <c r="BO27" s="89">
        <f>BO6*'Прогноз цен'!$F$6</f>
        <v>26669.901888</v>
      </c>
      <c r="BP27" s="89">
        <f>BP6*'Прогноз цен'!$F$6</f>
        <v>31114.885536000005</v>
      </c>
      <c r="BQ27" s="89">
        <f>BQ6*'Прогноз цен'!$F$6</f>
        <v>38337.983963999992</v>
      </c>
      <c r="BR27" s="89">
        <f>BR6*'Прогноз цен'!$F$6</f>
        <v>46672.328304000002</v>
      </c>
      <c r="BS27" s="89">
        <f>BS6*'Прогноз цен'!$F$6</f>
        <v>53339.803776000001</v>
      </c>
      <c r="BT27" s="89">
        <f>BT6*'Прогноз цен'!$F$6</f>
        <v>55562.295599999998</v>
      </c>
      <c r="BU27" s="89">
        <f>BU6*'Прогноз цен'!$F$6</f>
        <v>9445.5902520000018</v>
      </c>
      <c r="BV27" s="89">
        <f>BV6*'Прогноз цен'!$G$6</f>
        <v>4667.2328304000002</v>
      </c>
      <c r="BW27" s="89">
        <f>BW6*'Прогноз цен'!$G$6</f>
        <v>9334.4656608000005</v>
      </c>
      <c r="BX27" s="89">
        <f>BX6*'Прогноз цен'!$G$6</f>
        <v>17502.123113999998</v>
      </c>
      <c r="BY27" s="89">
        <f>BY6*'Прогноз цен'!$G$6</f>
        <v>24502.9723596</v>
      </c>
      <c r="BZ27" s="89">
        <f>BZ6*'Прогноз цен'!$G$6</f>
        <v>23336.164152000001</v>
      </c>
      <c r="CA27" s="89">
        <f>CA6*'Прогноз цен'!$G$6</f>
        <v>28003.396982399998</v>
      </c>
      <c r="CB27" s="89">
        <f>CB6*'Прогноз цен'!$G$6</f>
        <v>32670.629812800005</v>
      </c>
      <c r="CC27" s="89">
        <f>CC6*'Прогноз цен'!$G$6</f>
        <v>40254.883162199993</v>
      </c>
      <c r="CD27" s="89">
        <f>CD6*'Прогноз цен'!$G$6</f>
        <v>49005.944719200001</v>
      </c>
      <c r="CE27" s="89">
        <f>CE6*'Прогноз цен'!$G$6</f>
        <v>56006.793964799996</v>
      </c>
      <c r="CF27" s="89">
        <f>CF6*'Прогноз цен'!$G$6</f>
        <v>58340.410380000001</v>
      </c>
      <c r="CG27" s="89">
        <f>CG6*'Прогноз цен'!$G$6</f>
        <v>9917.8697646000019</v>
      </c>
      <c r="CH27" s="89">
        <f>CH6*'Прогноз цен'!$H$6</f>
        <v>4900.5944719200006</v>
      </c>
      <c r="CI27" s="89">
        <f>CI6*'Прогноз цен'!$H$6</f>
        <v>9801.1889438400012</v>
      </c>
      <c r="CJ27" s="89">
        <f>CJ6*'Прогноз цен'!$H$6</f>
        <v>18377.229269700001</v>
      </c>
      <c r="CK27" s="89">
        <f>CK6*'Прогноз цен'!$H$6</f>
        <v>25728.120977580002</v>
      </c>
      <c r="CL27" s="89">
        <f>CL6*'Прогноз цен'!$H$6</f>
        <v>24502.9723596</v>
      </c>
      <c r="CM27" s="89">
        <f>CM6*'Прогноз цен'!$H$6</f>
        <v>29403.566831520002</v>
      </c>
      <c r="CN27" s="89">
        <f>CN6*'Прогноз цен'!$H$6</f>
        <v>34304.161303440007</v>
      </c>
      <c r="CO27" s="89">
        <f>CO6*'Прогноз цен'!$H$6</f>
        <v>42267.627320309999</v>
      </c>
      <c r="CP27" s="89">
        <f>CP6*'Прогноз цен'!$H$6</f>
        <v>51456.241955160003</v>
      </c>
      <c r="CQ27" s="89">
        <f>CQ6*'Прогноз цен'!$H$6</f>
        <v>58807.133663040004</v>
      </c>
      <c r="CR27" s="89">
        <f>CR6*'Прогноз цен'!$H$6</f>
        <v>61257.430899000006</v>
      </c>
      <c r="CS27" s="89">
        <f>CS6*'Прогноз цен'!$H$6</f>
        <v>10413.763252830002</v>
      </c>
      <c r="CT27" s="89">
        <f>CT6*'Прогноз цен'!$I$6</f>
        <v>5145.6241955160003</v>
      </c>
      <c r="CU27" s="89">
        <f>CU6*'Прогноз цен'!$I$6</f>
        <v>10291.248391032001</v>
      </c>
      <c r="CV27" s="89">
        <f>CV6*'Прогноз цен'!$I$6</f>
        <v>19296.090733185003</v>
      </c>
      <c r="CW27" s="89">
        <f>CW6*'Прогноз цен'!$I$6</f>
        <v>27014.527026459004</v>
      </c>
      <c r="CX27" s="89">
        <f>CX6*'Прогноз цен'!$I$6</f>
        <v>25728.120977580002</v>
      </c>
      <c r="CY27" s="89">
        <f>CY6*'Прогноз цен'!$I$6</f>
        <v>30873.745173096002</v>
      </c>
      <c r="CZ27" s="89">
        <f>CZ6*'Прогноз цен'!$I$6</f>
        <v>36019.36936861201</v>
      </c>
      <c r="DA27" s="89">
        <f>DA6*'Прогноз цен'!$I$6</f>
        <v>44381.008686325498</v>
      </c>
      <c r="DB27" s="89">
        <f>DB6*'Прогноз цен'!$I$6</f>
        <v>54029.054052918007</v>
      </c>
      <c r="DC27" s="89">
        <f>DC6*'Прогноз цен'!$I$6</f>
        <v>61747.490346192004</v>
      </c>
      <c r="DD27" s="89">
        <f>DD6*'Прогноз цен'!$I$6</f>
        <v>64320.302443950008</v>
      </c>
      <c r="DE27" s="89">
        <f>DE6*'Прогноз цен'!$I$6</f>
        <v>10934.451415471503</v>
      </c>
      <c r="DF27" s="89">
        <f>DF6*'Прогноз цен'!$J$6</f>
        <v>5402.9054052918009</v>
      </c>
      <c r="DG27" s="89">
        <f>DG6*'Прогноз цен'!$J$6</f>
        <v>10805.810810583602</v>
      </c>
      <c r="DH27" s="89">
        <f>DH6*'Прогноз цен'!$J$6</f>
        <v>20260.895269844252</v>
      </c>
      <c r="DI27" s="89">
        <f>DI6*'Прогноз цен'!$J$6</f>
        <v>28365.253377781952</v>
      </c>
      <c r="DJ27" s="89">
        <f>DJ6*'Прогноз цен'!$J$6</f>
        <v>27014.527026459004</v>
      </c>
      <c r="DK27" s="89">
        <f>DK6*'Прогноз цен'!$J$6</f>
        <v>32417.432431750804</v>
      </c>
      <c r="DL27" s="89">
        <f>DL6*'Прогноз цен'!$J$6</f>
        <v>37820.337837042607</v>
      </c>
      <c r="DM27" s="89">
        <f>DM6*'Прогноз цен'!$J$6</f>
        <v>46600.059120641774</v>
      </c>
      <c r="DN27" s="89">
        <f>DN6*'Прогноз цен'!$J$6</f>
        <v>56730.506755563903</v>
      </c>
      <c r="DO27" s="89">
        <f>DO6*'Прогноз цен'!$J$6</f>
        <v>64834.864863501607</v>
      </c>
      <c r="DP27" s="89">
        <f>DP6*'Прогноз цен'!$J$6</f>
        <v>67536.317566147511</v>
      </c>
      <c r="DQ27" s="89">
        <f>DQ6*'Прогноз цен'!$J$6</f>
        <v>11481.173986245078</v>
      </c>
      <c r="DR27" s="89">
        <f>DR6*'Прогноз цен'!$K$6</f>
        <v>5673.0506755563911</v>
      </c>
      <c r="DS27" s="89">
        <f>DS6*'Прогноз цен'!$K$6</f>
        <v>11346.101351112782</v>
      </c>
      <c r="DT27" s="89">
        <f>DT6*'Прогноз цен'!$K$6</f>
        <v>21273.940033336465</v>
      </c>
      <c r="DU27" s="89">
        <f>DU6*'Прогноз цен'!$K$6</f>
        <v>29783.516046671051</v>
      </c>
      <c r="DV27" s="89">
        <f>DV6*'Прогноз цен'!$K$6</f>
        <v>28365.253377781955</v>
      </c>
      <c r="DW27" s="89">
        <f>DW6*'Прогноз цен'!$K$6</f>
        <v>34038.304053338346</v>
      </c>
      <c r="DX27" s="89">
        <f>DX6*'Прогноз цен'!$K$6</f>
        <v>39711.354728894745</v>
      </c>
      <c r="DY27" s="89">
        <f>DY6*'Прогноз цен'!$K$6</f>
        <v>48930.062076673865</v>
      </c>
      <c r="DZ27" s="89">
        <f>DZ6*'Прогноз цен'!$K$6</f>
        <v>59567.032093342103</v>
      </c>
      <c r="EA27" s="89">
        <f>EA6*'Прогноз цен'!$K$6</f>
        <v>68076.608106676693</v>
      </c>
      <c r="EB27" s="89">
        <f>EB6*'Прогноз цен'!$K$6</f>
        <v>70913.133444454885</v>
      </c>
      <c r="EC27" s="89">
        <f>EC6*'Прогноз цен'!$K$6</f>
        <v>12055.232685557332</v>
      </c>
    </row>
    <row r="28" spans="1:133" s="60" customFormat="1" ht="13.5" customHeight="1">
      <c r="A28" s="51" t="str">
        <f t="shared" si="29"/>
        <v>НФС с облицовкой натуральным камнем</v>
      </c>
      <c r="B28" s="376">
        <v>0</v>
      </c>
      <c r="C28" s="376">
        <v>0</v>
      </c>
      <c r="D28" s="376">
        <v>0</v>
      </c>
      <c r="E28" s="376">
        <v>0</v>
      </c>
      <c r="F28" s="376">
        <v>0</v>
      </c>
      <c r="G28" s="376">
        <v>0</v>
      </c>
      <c r="H28" s="376">
        <v>0</v>
      </c>
      <c r="I28" s="376">
        <v>0</v>
      </c>
      <c r="J28" s="376">
        <v>0</v>
      </c>
      <c r="K28" s="376">
        <v>0</v>
      </c>
      <c r="L28" s="376">
        <v>0</v>
      </c>
      <c r="M28" s="376">
        <v>0</v>
      </c>
      <c r="N28" s="376">
        <v>0</v>
      </c>
      <c r="O28" s="376">
        <v>0</v>
      </c>
      <c r="P28" s="376">
        <v>0</v>
      </c>
      <c r="Q28" s="376">
        <v>0</v>
      </c>
      <c r="R28" s="376">
        <v>0</v>
      </c>
      <c r="S28" s="376">
        <v>0</v>
      </c>
      <c r="T28" s="376">
        <v>0</v>
      </c>
      <c r="U28" s="376">
        <v>0</v>
      </c>
      <c r="V28" s="376">
        <v>0</v>
      </c>
      <c r="W28" s="376">
        <v>0</v>
      </c>
      <c r="X28" s="376">
        <v>0</v>
      </c>
      <c r="Y28" s="42">
        <f>Y7*'Прогноз цен'!B7</f>
        <v>1444.8300000000002</v>
      </c>
      <c r="Z28" s="42">
        <f>Z7*'Прогноз цен'!$C$7</f>
        <v>951.88800000000003</v>
      </c>
      <c r="AA28" s="42">
        <f>AA7*'Прогноз цен'!$C$7</f>
        <v>2447.712</v>
      </c>
      <c r="AB28" s="42">
        <f>AB7*'Прогноз цен'!$C$7</f>
        <v>6119.2800000000007</v>
      </c>
      <c r="AC28" s="42">
        <f>AC7*'Прогноз цен'!$C$7</f>
        <v>10708.740000000002</v>
      </c>
      <c r="AD28" s="42">
        <f>AD7*'Прогноз цен'!$C$7</f>
        <v>10878.720000000001</v>
      </c>
      <c r="AE28" s="42">
        <f>AE7*'Прогноз цен'!$C$7</f>
        <v>13054.464</v>
      </c>
      <c r="AF28" s="42">
        <f>AF7*'Прогноз цен'!$C$7</f>
        <v>15230.208000000004</v>
      </c>
      <c r="AG28" s="42">
        <f>AG7*'Прогноз цен'!$C$7</f>
        <v>18765.792000000001</v>
      </c>
      <c r="AH28" s="42">
        <f>AH7*'Прогноз цен'!$C$7</f>
        <v>22845.312000000002</v>
      </c>
      <c r="AI28" s="42">
        <f>AI7*'Прогноз цен'!$C$7</f>
        <v>26108.928</v>
      </c>
      <c r="AJ28" s="42">
        <f>AJ7*'Прогноз цен'!$C$7</f>
        <v>27196.800000000003</v>
      </c>
      <c r="AK28" s="42">
        <f>AK7*'Прогноз цен'!$C$7</f>
        <v>5779.3200000000006</v>
      </c>
      <c r="AL28" s="89">
        <f>AL7*'Прогноз цен'!$D$7</f>
        <v>2855.6640000000007</v>
      </c>
      <c r="AM28" s="89">
        <f>AM7*'Прогноз цен'!$D$7</f>
        <v>5711.3280000000013</v>
      </c>
      <c r="AN28" s="89">
        <f>AN7*'Прогноз цен'!$D$7</f>
        <v>10708.740000000002</v>
      </c>
      <c r="AO28" s="89">
        <f>AO7*'Прогноз цен'!$D$7</f>
        <v>14992.236000000003</v>
      </c>
      <c r="AP28" s="89">
        <f>AP7*'Прогноз цен'!$D$7</f>
        <v>14278.320000000002</v>
      </c>
      <c r="AQ28" s="89">
        <f>AQ7*'Прогноз цен'!$D$7</f>
        <v>17133.984000000004</v>
      </c>
      <c r="AR28" s="89">
        <f>AR7*'Прогноз цен'!$D$7</f>
        <v>19989.648000000005</v>
      </c>
      <c r="AS28" s="89">
        <f>AS7*'Прогноз цен'!$D$7</f>
        <v>24630.102000000003</v>
      </c>
      <c r="AT28" s="89">
        <f>AT7*'Прогноз цен'!$D$7</f>
        <v>29984.472000000005</v>
      </c>
      <c r="AU28" s="89">
        <f>AU7*'Прогноз цен'!$D$7</f>
        <v>34267.968000000008</v>
      </c>
      <c r="AV28" s="89">
        <f>AV7*'Прогноз цен'!$D$7</f>
        <v>35695.800000000003</v>
      </c>
      <c r="AW28" s="89">
        <f>AW7*'Прогноз цен'!$D$7</f>
        <v>6068.2860000000019</v>
      </c>
      <c r="AX28" s="89">
        <f>AX7*'Прогноз цен'!$E$7</f>
        <v>2998.4472000000005</v>
      </c>
      <c r="AY28" s="89">
        <f>AY7*'Прогноз цен'!$E$7</f>
        <v>5996.894400000001</v>
      </c>
      <c r="AZ28" s="89">
        <f>AZ7*'Прогноз цен'!$E$7</f>
        <v>11244.177000000001</v>
      </c>
      <c r="BA28" s="89">
        <f>BA7*'Прогноз цен'!$E$7</f>
        <v>15741.847800000001</v>
      </c>
      <c r="BB28" s="89">
        <f>BB7*'Прогноз цен'!$E$7</f>
        <v>14992.236000000003</v>
      </c>
      <c r="BC28" s="89">
        <f>BC7*'Прогноз цен'!$E$7</f>
        <v>17990.683200000003</v>
      </c>
      <c r="BD28" s="89">
        <f>BD7*'Прогноз цен'!$E$7</f>
        <v>20989.130400000005</v>
      </c>
      <c r="BE28" s="89">
        <f>BE7*'Прогноз цен'!$E$7</f>
        <v>25861.607100000005</v>
      </c>
      <c r="BF28" s="89">
        <f>BF7*'Прогноз цен'!$E$7</f>
        <v>31483.695600000003</v>
      </c>
      <c r="BG28" s="89">
        <f>BG7*'Прогноз цен'!$E$7</f>
        <v>35981.366400000006</v>
      </c>
      <c r="BH28" s="89">
        <f>BH7*'Прогноз цен'!$E$7</f>
        <v>37480.590000000004</v>
      </c>
      <c r="BI28" s="89">
        <f>BI7*'Прогноз цен'!$E$7</f>
        <v>6371.7003000000013</v>
      </c>
      <c r="BJ28" s="89">
        <f>BJ7*'Прогноз цен'!$F$7</f>
        <v>3148.3695600000005</v>
      </c>
      <c r="BK28" s="89">
        <f>BK7*'Прогноз цен'!$F$7</f>
        <v>6296.7391200000011</v>
      </c>
      <c r="BL28" s="89">
        <f>BL7*'Прогноз цен'!$F$7</f>
        <v>11806.385850000002</v>
      </c>
      <c r="BM28" s="89">
        <f>BM7*'Прогноз цен'!$F$7</f>
        <v>16528.940190000005</v>
      </c>
      <c r="BN28" s="89">
        <f>BN7*'Прогноз цен'!$F$7</f>
        <v>15741.847800000003</v>
      </c>
      <c r="BO28" s="89">
        <f>BO7*'Прогноз цен'!$F$7</f>
        <v>18890.217360000006</v>
      </c>
      <c r="BP28" s="89">
        <f>BP7*'Прогноз цен'!$F$7</f>
        <v>22038.586920000009</v>
      </c>
      <c r="BQ28" s="89">
        <f>BQ7*'Прогноз цен'!$F$7</f>
        <v>27154.687455000007</v>
      </c>
      <c r="BR28" s="89">
        <f>BR7*'Прогноз цен'!$F$7</f>
        <v>33057.88038000001</v>
      </c>
      <c r="BS28" s="89">
        <f>BS7*'Прогноз цен'!$F$7</f>
        <v>37780.434720000012</v>
      </c>
      <c r="BT28" s="89">
        <f>BT7*'Прогноз цен'!$F$7</f>
        <v>39354.619500000008</v>
      </c>
      <c r="BU28" s="89">
        <f>BU7*'Прогноз цен'!$F$7</f>
        <v>6690.2853150000019</v>
      </c>
      <c r="BV28" s="89">
        <f>BV7*'Прогноз цен'!$G$7</f>
        <v>3305.7880380000011</v>
      </c>
      <c r="BW28" s="89">
        <f>BW7*'Прогноз цен'!$G$7</f>
        <v>6611.5760760000021</v>
      </c>
      <c r="BX28" s="89">
        <f>BX7*'Прогноз цен'!$G$7</f>
        <v>12396.705142500003</v>
      </c>
      <c r="BY28" s="89">
        <f>BY7*'Прогноз цен'!$G$7</f>
        <v>17355.387199500004</v>
      </c>
      <c r="BZ28" s="89">
        <f>BZ7*'Прогноз цен'!$G$7</f>
        <v>16528.940190000005</v>
      </c>
      <c r="CA28" s="89">
        <f>CA7*'Прогноз цен'!$G$7</f>
        <v>19834.728228000004</v>
      </c>
      <c r="CB28" s="89">
        <f>CB7*'Прогноз цен'!$G$7</f>
        <v>23140.51626600001</v>
      </c>
      <c r="CC28" s="89">
        <f>CC7*'Прогноз цен'!$G$7</f>
        <v>28512.421827750008</v>
      </c>
      <c r="CD28" s="89">
        <f>CD7*'Прогноз цен'!$G$7</f>
        <v>34710.774399000009</v>
      </c>
      <c r="CE28" s="89">
        <f>CE7*'Прогноз цен'!$G$7</f>
        <v>39669.456456000007</v>
      </c>
      <c r="CF28" s="89">
        <f>CF7*'Прогноз цен'!$G$7</f>
        <v>41322.350475000014</v>
      </c>
      <c r="CG28" s="89">
        <f>CG7*'Прогноз цен'!$G$7</f>
        <v>7024.7995807500029</v>
      </c>
      <c r="CH28" s="89">
        <f>CH7*'Прогноз цен'!$H$7</f>
        <v>3471.0774399000011</v>
      </c>
      <c r="CI28" s="89">
        <f>CI7*'Прогноз цен'!$H$7</f>
        <v>6942.1548798000022</v>
      </c>
      <c r="CJ28" s="89">
        <f>CJ7*'Прогноз цен'!$H$7</f>
        <v>13016.540399625002</v>
      </c>
      <c r="CK28" s="89">
        <f>CK7*'Прогноз цен'!$H$7</f>
        <v>18223.156559475006</v>
      </c>
      <c r="CL28" s="89">
        <f>CL7*'Прогноз цен'!$H$7</f>
        <v>17355.387199500004</v>
      </c>
      <c r="CM28" s="89">
        <f>CM7*'Прогноз цен'!$H$7</f>
        <v>20826.464639400005</v>
      </c>
      <c r="CN28" s="89">
        <f>CN7*'Прогноз цен'!$H$7</f>
        <v>24297.542079300008</v>
      </c>
      <c r="CO28" s="89">
        <f>CO7*'Прогноз цен'!$H$7</f>
        <v>29938.042919137508</v>
      </c>
      <c r="CP28" s="89">
        <f>CP7*'Прогноз цен'!$H$7</f>
        <v>36446.313118950013</v>
      </c>
      <c r="CQ28" s="89">
        <f>CQ7*'Прогноз цен'!$H$7</f>
        <v>41652.929278800009</v>
      </c>
      <c r="CR28" s="89">
        <f>CR7*'Прогноз цен'!$H$7</f>
        <v>43388.467998750013</v>
      </c>
      <c r="CS28" s="89">
        <f>CS7*'Прогноз цен'!$H$7</f>
        <v>7376.0395597875031</v>
      </c>
      <c r="CT28" s="89">
        <f>CT7*'Прогноз цен'!$I$7</f>
        <v>3644.6313118950011</v>
      </c>
      <c r="CU28" s="89">
        <f>CU7*'Прогноз цен'!$I$7</f>
        <v>7289.2626237900022</v>
      </c>
      <c r="CV28" s="89">
        <f>CV7*'Прогноз цен'!$I$7</f>
        <v>13667.367419606255</v>
      </c>
      <c r="CW28" s="89">
        <f>CW7*'Прогноз цен'!$I$7</f>
        <v>19134.314387448754</v>
      </c>
      <c r="CX28" s="89">
        <f>CX7*'Прогноз цен'!$I$7</f>
        <v>18223.156559475006</v>
      </c>
      <c r="CY28" s="89">
        <f>CY7*'Прогноз цен'!$I$7</f>
        <v>21867.787871370005</v>
      </c>
      <c r="CZ28" s="89">
        <f>CZ7*'Прогноз цен'!$I$7</f>
        <v>25512.41918326501</v>
      </c>
      <c r="DA28" s="89">
        <f>DA7*'Прогноз цен'!$I$7</f>
        <v>31434.945065094384</v>
      </c>
      <c r="DB28" s="89">
        <f>DB7*'Прогноз цен'!$I$7</f>
        <v>38268.628774897508</v>
      </c>
      <c r="DC28" s="89">
        <f>DC7*'Прогноз цен'!$I$7</f>
        <v>43735.575742740009</v>
      </c>
      <c r="DD28" s="89">
        <f>DD7*'Прогноз цен'!$I$7</f>
        <v>45557.891398687512</v>
      </c>
      <c r="DE28" s="89">
        <f>DE7*'Прогноз цен'!$I$7</f>
        <v>7744.8415377768779</v>
      </c>
      <c r="DF28" s="89">
        <f>DF7*'Прогноз цен'!$J$7</f>
        <v>3826.8628774897511</v>
      </c>
      <c r="DG28" s="89">
        <f>DG7*'Прогноз цен'!$J$7</f>
        <v>7653.7257549795022</v>
      </c>
      <c r="DH28" s="89">
        <f>DH7*'Прогноз цен'!$J$7</f>
        <v>14350.735790586567</v>
      </c>
      <c r="DI28" s="89">
        <f>DI7*'Прогноз цен'!$J$7</f>
        <v>20091.030106821192</v>
      </c>
      <c r="DJ28" s="89">
        <f>DJ7*'Прогноз цен'!$J$7</f>
        <v>19134.314387448754</v>
      </c>
      <c r="DK28" s="89">
        <f>DK7*'Прогноз цен'!$J$7</f>
        <v>22961.177264938506</v>
      </c>
      <c r="DL28" s="89">
        <f>DL7*'Прогноз цен'!$J$7</f>
        <v>26788.040142428261</v>
      </c>
      <c r="DM28" s="89">
        <f>DM7*'Прогноз цен'!$J$7</f>
        <v>33006.692318349102</v>
      </c>
      <c r="DN28" s="89">
        <f>DN7*'Прогноз цен'!$J$7</f>
        <v>40182.060213642384</v>
      </c>
      <c r="DO28" s="89">
        <f>DO7*'Прогноз цен'!$J$7</f>
        <v>45922.354529877011</v>
      </c>
      <c r="DP28" s="89">
        <f>DP7*'Прогноз цен'!$J$7</f>
        <v>47835.785968621887</v>
      </c>
      <c r="DQ28" s="89">
        <f>DQ7*'Прогноз цен'!$J$7</f>
        <v>8132.0836146657221</v>
      </c>
      <c r="DR28" s="89">
        <f>DR7*'Прогноз цен'!$K$7</f>
        <v>4018.2060213642389</v>
      </c>
      <c r="DS28" s="89">
        <f>DS7*'Прогноз цен'!$K$7</f>
        <v>8036.4120427284779</v>
      </c>
      <c r="DT28" s="89">
        <f>DT7*'Прогноз цен'!$K$7</f>
        <v>15068.272580115896</v>
      </c>
      <c r="DU28" s="89">
        <f>DU7*'Прогноз цен'!$K$7</f>
        <v>21095.581612162252</v>
      </c>
      <c r="DV28" s="89">
        <f>DV7*'Прогноз цен'!$K$7</f>
        <v>20091.030106821192</v>
      </c>
      <c r="DW28" s="89">
        <f>DW7*'Прогноз цен'!$K$7</f>
        <v>24109.236128185432</v>
      </c>
      <c r="DX28" s="89">
        <f>DX7*'Прогноз цен'!$K$7</f>
        <v>28127.442149549675</v>
      </c>
      <c r="DY28" s="89">
        <f>DY7*'Прогноз цен'!$K$7</f>
        <v>34657.026934266556</v>
      </c>
      <c r="DZ28" s="89">
        <f>DZ7*'Прогноз цен'!$K$7</f>
        <v>42191.163224324504</v>
      </c>
      <c r="EA28" s="89">
        <f>EA7*'Прогноз цен'!$K$7</f>
        <v>48218.472256370864</v>
      </c>
      <c r="EB28" s="89">
        <f>EB7*'Прогноз цен'!$K$7</f>
        <v>50227.575267052984</v>
      </c>
      <c r="EC28" s="89">
        <f>EC7*'Прогноз цен'!$K$7</f>
        <v>8538.6877953990079</v>
      </c>
    </row>
    <row r="29" spans="1:133" s="60" customFormat="1" ht="13.5" customHeight="1">
      <c r="A29" s="51" t="str">
        <f t="shared" si="29"/>
        <v>НФС с облицовкой клинкерной плиткой</v>
      </c>
      <c r="B29" s="376">
        <v>0</v>
      </c>
      <c r="C29" s="376">
        <v>0</v>
      </c>
      <c r="D29" s="376">
        <v>0</v>
      </c>
      <c r="E29" s="376">
        <v>0</v>
      </c>
      <c r="F29" s="376">
        <v>0</v>
      </c>
      <c r="G29" s="376">
        <v>0</v>
      </c>
      <c r="H29" s="376">
        <v>0</v>
      </c>
      <c r="I29" s="376">
        <v>0</v>
      </c>
      <c r="J29" s="376">
        <v>0</v>
      </c>
      <c r="K29" s="376">
        <v>0</v>
      </c>
      <c r="L29" s="376">
        <v>0</v>
      </c>
      <c r="M29" s="376">
        <v>0</v>
      </c>
      <c r="N29" s="376">
        <v>0</v>
      </c>
      <c r="O29" s="376">
        <v>0</v>
      </c>
      <c r="P29" s="376">
        <v>0</v>
      </c>
      <c r="Q29" s="376">
        <v>0</v>
      </c>
      <c r="R29" s="376">
        <v>0</v>
      </c>
      <c r="S29" s="376">
        <v>0</v>
      </c>
      <c r="T29" s="376">
        <v>0</v>
      </c>
      <c r="U29" s="376">
        <v>0</v>
      </c>
      <c r="V29" s="376">
        <v>0</v>
      </c>
      <c r="W29" s="376">
        <v>0</v>
      </c>
      <c r="X29" s="376">
        <v>0</v>
      </c>
      <c r="Y29" s="42">
        <f>Y8*'Прогноз цен'!B8</f>
        <v>382.41499999999996</v>
      </c>
      <c r="Z29" s="42">
        <f>Z8*'Прогноз цен'!$C$8</f>
        <v>251.94399999999996</v>
      </c>
      <c r="AA29" s="42">
        <f>AA8*'Прогноз цен'!$C$8</f>
        <v>647.85599999999999</v>
      </c>
      <c r="AB29" s="42">
        <f>AB8*'Прогноз цен'!$C$8</f>
        <v>1619.6399999999999</v>
      </c>
      <c r="AC29" s="42">
        <f>AC8*'Прогноз цен'!$C$8</f>
        <v>2834.37</v>
      </c>
      <c r="AD29" s="42">
        <f>AD8*'Прогноз цен'!$C$8</f>
        <v>2879.3599999999997</v>
      </c>
      <c r="AE29" s="42">
        <f>AE8*'Прогноз цен'!$C$8</f>
        <v>3455.232</v>
      </c>
      <c r="AF29" s="42">
        <f>AF8*'Прогноз цен'!$C$8</f>
        <v>4031.1040000000007</v>
      </c>
      <c r="AG29" s="42">
        <f>AG8*'Прогноз цен'!$C$8</f>
        <v>4966.8959999999988</v>
      </c>
      <c r="AH29" s="42">
        <f>AH8*'Прогноз цен'!$C$8</f>
        <v>6046.6559999999999</v>
      </c>
      <c r="AI29" s="42">
        <f>AI8*'Прогноз цен'!$C$8</f>
        <v>6910.4639999999999</v>
      </c>
      <c r="AJ29" s="42">
        <f>AJ8*'Прогноз цен'!$C$8</f>
        <v>7198.4</v>
      </c>
      <c r="AK29" s="42">
        <f>AK8*'Прогноз цен'!$C$8</f>
        <v>1529.6599999999999</v>
      </c>
      <c r="AL29" s="89">
        <f>AL8*'Прогноз цен'!$D$8</f>
        <v>755.83199999999999</v>
      </c>
      <c r="AM29" s="89">
        <f>AM8*'Прогноз цен'!$D$8</f>
        <v>1511.664</v>
      </c>
      <c r="AN29" s="89">
        <f>AN8*'Прогноз цен'!$D$8</f>
        <v>2834.3700000000003</v>
      </c>
      <c r="AO29" s="89">
        <f>AO8*'Прогноз цен'!$D$8</f>
        <v>3968.1180000000004</v>
      </c>
      <c r="AP29" s="89">
        <f>AP8*'Прогноз цен'!$D$8</f>
        <v>3779.1600000000003</v>
      </c>
      <c r="AQ29" s="89">
        <f>AQ8*'Прогноз цен'!$D$8</f>
        <v>4534.9920000000002</v>
      </c>
      <c r="AR29" s="89">
        <f>AR8*'Прогноз цен'!$D$8</f>
        <v>5290.8240000000014</v>
      </c>
      <c r="AS29" s="89">
        <f>AS8*'Прогноз цен'!$D$8</f>
        <v>6519.0509999999995</v>
      </c>
      <c r="AT29" s="89">
        <f>AT8*'Прогноз цен'!$D$8</f>
        <v>7936.2360000000008</v>
      </c>
      <c r="AU29" s="89">
        <f>AU8*'Прогноз цен'!$D$8</f>
        <v>9069.9840000000004</v>
      </c>
      <c r="AV29" s="89">
        <f>AV8*'Прогноз цен'!$D$8</f>
        <v>9447.9</v>
      </c>
      <c r="AW29" s="89">
        <f>AW8*'Прогноз цен'!$D$8</f>
        <v>1606.143</v>
      </c>
      <c r="AX29" s="89">
        <f>AX8*'Прогноз цен'!$E$8</f>
        <v>793.62360000000012</v>
      </c>
      <c r="AY29" s="89">
        <f>AY8*'Прогноз цен'!$E$8</f>
        <v>1587.2472000000002</v>
      </c>
      <c r="AZ29" s="89">
        <f>AZ8*'Прогноз цен'!$E$8</f>
        <v>2976.0885000000003</v>
      </c>
      <c r="BA29" s="89">
        <f>BA8*'Прогноз цен'!$E$8</f>
        <v>4166.523900000001</v>
      </c>
      <c r="BB29" s="89">
        <f>BB8*'Прогноз цен'!$E$8</f>
        <v>3968.1180000000004</v>
      </c>
      <c r="BC29" s="89">
        <f>BC8*'Прогноз цен'!$E$8</f>
        <v>4761.7416000000012</v>
      </c>
      <c r="BD29" s="89">
        <f>BD8*'Прогноз цен'!$E$8</f>
        <v>5555.365200000002</v>
      </c>
      <c r="BE29" s="89">
        <f>BE8*'Прогноз цен'!$E$8</f>
        <v>6845.0035500000004</v>
      </c>
      <c r="BF29" s="89">
        <f>BF8*'Прогноз цен'!$E$8</f>
        <v>8333.0478000000021</v>
      </c>
      <c r="BG29" s="89">
        <f>BG8*'Прогноз цен'!$E$8</f>
        <v>9523.4832000000024</v>
      </c>
      <c r="BH29" s="89">
        <f>BH8*'Прогноз цен'!$E$8</f>
        <v>9920.2950000000019</v>
      </c>
      <c r="BI29" s="89">
        <f>BI8*'Прогноз цен'!$E$8</f>
        <v>1686.4501500000003</v>
      </c>
      <c r="BJ29" s="89">
        <f>BJ8*'Прогноз цен'!$F$8</f>
        <v>833.30478000000016</v>
      </c>
      <c r="BK29" s="89">
        <f>BK8*'Прогноз цен'!$F$8</f>
        <v>1666.6095600000003</v>
      </c>
      <c r="BL29" s="89">
        <f>BL8*'Прогноз цен'!$F$8</f>
        <v>3124.8929250000006</v>
      </c>
      <c r="BM29" s="89">
        <f>BM8*'Прогноз цен'!$F$8</f>
        <v>4374.8500950000007</v>
      </c>
      <c r="BN29" s="89">
        <f>BN8*'Прогноз цен'!$F$8</f>
        <v>4166.523900000001</v>
      </c>
      <c r="BO29" s="89">
        <f>BO8*'Прогноз цен'!$F$8</f>
        <v>4999.8286800000014</v>
      </c>
      <c r="BP29" s="89">
        <f>BP8*'Прогноз цен'!$F$8</f>
        <v>5833.1334600000027</v>
      </c>
      <c r="BQ29" s="89">
        <f>BQ8*'Прогноз цен'!$F$8</f>
        <v>7187.2537275000004</v>
      </c>
      <c r="BR29" s="89">
        <f>BR8*'Прогноз цен'!$F$8</f>
        <v>8749.7001900000014</v>
      </c>
      <c r="BS29" s="89">
        <f>BS8*'Прогноз цен'!$F$8</f>
        <v>9999.6573600000029</v>
      </c>
      <c r="BT29" s="89">
        <f>BT8*'Прогноз цен'!$F$8</f>
        <v>10416.309750000002</v>
      </c>
      <c r="BU29" s="89">
        <f>BU8*'Прогноз цен'!$F$8</f>
        <v>1770.7726575000004</v>
      </c>
      <c r="BV29" s="89">
        <f>BV8*'Прогноз цен'!$G$8</f>
        <v>874.97001900000021</v>
      </c>
      <c r="BW29" s="89">
        <f>BW8*'Прогноз цен'!$G$8</f>
        <v>1749.9400380000004</v>
      </c>
      <c r="BX29" s="89">
        <f>BX8*'Прогноз цен'!$G$8</f>
        <v>3281.1375712500007</v>
      </c>
      <c r="BY29" s="89">
        <f>BY8*'Прогноз цен'!$G$8</f>
        <v>4593.5925997500017</v>
      </c>
      <c r="BZ29" s="89">
        <f>BZ8*'Прогноз цен'!$G$8</f>
        <v>4374.8500950000016</v>
      </c>
      <c r="CA29" s="89">
        <f>CA8*'Прогноз цен'!$G$8</f>
        <v>5249.8201140000019</v>
      </c>
      <c r="CB29" s="89">
        <f>CB8*'Прогноз цен'!$G$8</f>
        <v>6124.7901330000032</v>
      </c>
      <c r="CC29" s="89">
        <f>CC8*'Прогноз цен'!$G$8</f>
        <v>7546.6164138750009</v>
      </c>
      <c r="CD29" s="89">
        <f>CD8*'Прогноз цен'!$G$8</f>
        <v>9187.1851995000034</v>
      </c>
      <c r="CE29" s="89">
        <f>CE8*'Прогноз цен'!$G$8</f>
        <v>10499.640228000004</v>
      </c>
      <c r="CF29" s="89">
        <f>CF8*'Прогноз цен'!$G$8</f>
        <v>10937.125237500004</v>
      </c>
      <c r="CG29" s="89">
        <f>CG8*'Прогноз цен'!$G$8</f>
        <v>1859.3112903750005</v>
      </c>
      <c r="CH29" s="89">
        <f>CH8*'Прогноз цен'!$H$8</f>
        <v>918.71851995000031</v>
      </c>
      <c r="CI29" s="89">
        <f>CI8*'Прогноз цен'!$H$8</f>
        <v>1837.4370399000006</v>
      </c>
      <c r="CJ29" s="89">
        <f>CJ8*'Прогноз цен'!$H$8</f>
        <v>3445.1944498125013</v>
      </c>
      <c r="CK29" s="89">
        <f>CK8*'Прогноз цен'!$H$8</f>
        <v>4823.2722297375012</v>
      </c>
      <c r="CL29" s="89">
        <f>CL8*'Прогноз цен'!$H$8</f>
        <v>4593.5925997500017</v>
      </c>
      <c r="CM29" s="89">
        <f>CM8*'Прогноз цен'!$H$8</f>
        <v>5512.3111197000017</v>
      </c>
      <c r="CN29" s="89">
        <f>CN8*'Прогноз цен'!$H$8</f>
        <v>6431.0296396500034</v>
      </c>
      <c r="CO29" s="89">
        <f>CO8*'Прогноз цен'!$H$8</f>
        <v>7923.9472345687509</v>
      </c>
      <c r="CP29" s="89">
        <f>CP8*'Прогноз цен'!$H$8</f>
        <v>9646.5444594750024</v>
      </c>
      <c r="CQ29" s="89">
        <f>CQ8*'Прогноз цен'!$H$8</f>
        <v>11024.622239400003</v>
      </c>
      <c r="CR29" s="89">
        <f>CR8*'Прогноз цен'!$H$8</f>
        <v>11483.981499375004</v>
      </c>
      <c r="CS29" s="89">
        <f>CS8*'Прогноз цен'!$H$8</f>
        <v>1952.2768548937506</v>
      </c>
      <c r="CT29" s="89">
        <f>CT8*'Прогноз цен'!$I$8</f>
        <v>964.65444594750034</v>
      </c>
      <c r="CU29" s="89">
        <f>CU8*'Прогноз цен'!$I$8</f>
        <v>1929.3088918950007</v>
      </c>
      <c r="CV29" s="89">
        <f>CV8*'Прогноз цен'!$I$8</f>
        <v>3617.4541723031266</v>
      </c>
      <c r="CW29" s="89">
        <f>CW8*'Прогноз цен'!$I$8</f>
        <v>5064.4358412243773</v>
      </c>
      <c r="CX29" s="89">
        <f>CX8*'Прогноз цен'!$I$8</f>
        <v>4823.2722297375021</v>
      </c>
      <c r="CY29" s="89">
        <f>CY8*'Прогноз цен'!$I$8</f>
        <v>5787.926675685002</v>
      </c>
      <c r="CZ29" s="89">
        <f>CZ8*'Прогноз цен'!$I$8</f>
        <v>6752.5811216325037</v>
      </c>
      <c r="DA29" s="89">
        <f>DA8*'Прогноз цен'!$I$8</f>
        <v>8320.1445962971902</v>
      </c>
      <c r="DB29" s="89">
        <f>DB8*'Прогноз цен'!$I$8</f>
        <v>10128.871682448755</v>
      </c>
      <c r="DC29" s="89">
        <f>DC8*'Прогноз цен'!$I$8</f>
        <v>11575.853351370004</v>
      </c>
      <c r="DD29" s="89">
        <f>DD8*'Прогноз цен'!$I$8</f>
        <v>12058.180574343754</v>
      </c>
      <c r="DE29" s="89">
        <f>DE8*'Прогноз цен'!$I$8</f>
        <v>2049.8906976384383</v>
      </c>
      <c r="DF29" s="89">
        <f>DF8*'Прогноз цен'!$J$8</f>
        <v>1012.8871682448755</v>
      </c>
      <c r="DG29" s="89">
        <f>DG8*'Прогноз цен'!$J$8</f>
        <v>2025.774336489751</v>
      </c>
      <c r="DH29" s="89">
        <f>DH8*'Прогноз цен'!$J$8</f>
        <v>3798.3268809182832</v>
      </c>
      <c r="DI29" s="89">
        <f>DI8*'Прогноз цен'!$J$8</f>
        <v>5317.6576332855966</v>
      </c>
      <c r="DJ29" s="89">
        <f>DJ8*'Прогноз цен'!$J$8</f>
        <v>5064.4358412243773</v>
      </c>
      <c r="DK29" s="89">
        <f>DK8*'Прогноз цен'!$J$8</f>
        <v>6077.3230094692526</v>
      </c>
      <c r="DL29" s="89">
        <f>DL8*'Прогноз цен'!$J$8</f>
        <v>7090.2101777141297</v>
      </c>
      <c r="DM29" s="89">
        <f>DM8*'Прогноз цен'!$J$8</f>
        <v>8736.1518261120491</v>
      </c>
      <c r="DN29" s="89">
        <f>DN8*'Прогноз цен'!$J$8</f>
        <v>10635.315266571193</v>
      </c>
      <c r="DO29" s="89">
        <f>DO8*'Прогноз цен'!$J$8</f>
        <v>12154.646018938505</v>
      </c>
      <c r="DP29" s="89">
        <f>DP8*'Прогноз цен'!$J$8</f>
        <v>12661.089603060944</v>
      </c>
      <c r="DQ29" s="89">
        <f>DQ8*'Прогноз цен'!$J$8</f>
        <v>2152.3852325203602</v>
      </c>
      <c r="DR29" s="89">
        <f>DR8*'Прогноз цен'!$K$8</f>
        <v>1063.5315266571192</v>
      </c>
      <c r="DS29" s="89">
        <f>DS8*'Прогноз цен'!$K$8</f>
        <v>2127.0630533142385</v>
      </c>
      <c r="DT29" s="89">
        <f>DT8*'Прогноз цен'!$K$8</f>
        <v>3988.2432249641975</v>
      </c>
      <c r="DU29" s="89">
        <f>DU8*'Прогноз цен'!$K$8</f>
        <v>5583.5405149498765</v>
      </c>
      <c r="DV29" s="89">
        <f>DV8*'Прогноз цен'!$K$8</f>
        <v>5317.6576332855966</v>
      </c>
      <c r="DW29" s="89">
        <f>DW8*'Прогноз цен'!$K$8</f>
        <v>6381.1891599427154</v>
      </c>
      <c r="DX29" s="89">
        <f>DX8*'Прогноз цен'!$K$8</f>
        <v>7444.720686599836</v>
      </c>
      <c r="DY29" s="89">
        <f>DY8*'Прогноз цен'!$K$8</f>
        <v>9172.9594174176527</v>
      </c>
      <c r="DZ29" s="89">
        <f>DZ8*'Прогноз цен'!$K$8</f>
        <v>11167.081029899753</v>
      </c>
      <c r="EA29" s="89">
        <f>EA8*'Прогноз цен'!$K$8</f>
        <v>12762.378319885431</v>
      </c>
      <c r="EB29" s="89">
        <f>EB8*'Прогноз цен'!$K$8</f>
        <v>13294.144083213991</v>
      </c>
      <c r="EC29" s="89">
        <f>EC8*'Прогноз цен'!$K$8</f>
        <v>2260.0044941463784</v>
      </c>
    </row>
    <row r="30" spans="1:133" s="60" customFormat="1" ht="13.5" customHeight="1">
      <c r="A30" s="51" t="str">
        <f t="shared" si="29"/>
        <v>НФС с облицовкой керамогранитом</v>
      </c>
      <c r="B30" s="376">
        <v>0</v>
      </c>
      <c r="C30" s="376">
        <v>0</v>
      </c>
      <c r="D30" s="376">
        <v>0</v>
      </c>
      <c r="E30" s="376">
        <v>0</v>
      </c>
      <c r="F30" s="376">
        <v>0</v>
      </c>
      <c r="G30" s="376">
        <v>0</v>
      </c>
      <c r="H30" s="376">
        <v>0</v>
      </c>
      <c r="I30" s="376">
        <v>0</v>
      </c>
      <c r="J30" s="376">
        <v>0</v>
      </c>
      <c r="K30" s="376">
        <v>0</v>
      </c>
      <c r="L30" s="376">
        <v>0</v>
      </c>
      <c r="M30" s="376">
        <v>0</v>
      </c>
      <c r="N30" s="376">
        <v>0</v>
      </c>
      <c r="O30" s="376">
        <v>0</v>
      </c>
      <c r="P30" s="376">
        <v>0</v>
      </c>
      <c r="Q30" s="376">
        <v>0</v>
      </c>
      <c r="R30" s="376">
        <v>0</v>
      </c>
      <c r="S30" s="376">
        <v>0</v>
      </c>
      <c r="T30" s="376">
        <v>0</v>
      </c>
      <c r="U30" s="376">
        <v>0</v>
      </c>
      <c r="V30" s="376">
        <v>0</v>
      </c>
      <c r="W30" s="376">
        <v>0</v>
      </c>
      <c r="X30" s="376">
        <v>0</v>
      </c>
      <c r="Y30" s="42">
        <f>Y9*'Прогноз цен'!B9</f>
        <v>169.99150000000003</v>
      </c>
      <c r="Z30" s="42">
        <f>Z9*'Прогноз цен'!$C$9</f>
        <v>111.9944</v>
      </c>
      <c r="AA30" s="42">
        <f>AA9*'Прогноз цен'!$C$9</f>
        <v>287.98560000000003</v>
      </c>
      <c r="AB30" s="42">
        <f>AB9*'Прогноз цен'!$C$9</f>
        <v>719.96400000000006</v>
      </c>
      <c r="AC30" s="42">
        <f>AC9*'Прогноз цен'!$C$9</f>
        <v>1259.9370000000001</v>
      </c>
      <c r="AD30" s="42">
        <f>AD9*'Прогноз цен'!$C$9</f>
        <v>1279.9360000000001</v>
      </c>
      <c r="AE30" s="42">
        <f>AE9*'Прогноз цен'!$C$9</f>
        <v>1535.9232000000002</v>
      </c>
      <c r="AF30" s="42">
        <f>AF9*'Прогноз цен'!$C$9</f>
        <v>1791.9104000000007</v>
      </c>
      <c r="AG30" s="42">
        <f>AG9*'Прогноз цен'!$C$9</f>
        <v>2207.8896</v>
      </c>
      <c r="AH30" s="42">
        <f>AH9*'Прогноз цен'!$C$9</f>
        <v>2687.8656000000005</v>
      </c>
      <c r="AI30" s="42">
        <f>AI9*'Прогноз цен'!$C$9</f>
        <v>3071.8464000000004</v>
      </c>
      <c r="AJ30" s="42">
        <f>AJ9*'Прогноз цен'!$C$9</f>
        <v>3199.84</v>
      </c>
      <c r="AK30" s="42">
        <f>AK9*'Прогноз цен'!$C$9</f>
        <v>679.96600000000012</v>
      </c>
      <c r="AL30" s="89">
        <f>AL9*'Прогноз цен'!$D$9</f>
        <v>335.98320000000001</v>
      </c>
      <c r="AM30" s="89">
        <f>AM9*'Прогноз цен'!$D$9</f>
        <v>671.96640000000002</v>
      </c>
      <c r="AN30" s="89">
        <f>AN9*'Прогноз цен'!$D$9</f>
        <v>1259.9370000000001</v>
      </c>
      <c r="AO30" s="89">
        <f>AO9*'Прогноз цен'!$D$9</f>
        <v>1763.9118000000003</v>
      </c>
      <c r="AP30" s="89">
        <f>AP9*'Прогноз цен'!$D$9</f>
        <v>1679.9160000000002</v>
      </c>
      <c r="AQ30" s="89">
        <f>AQ9*'Прогноз цен'!$D$9</f>
        <v>2015.8992000000003</v>
      </c>
      <c r="AR30" s="89">
        <f>AR9*'Прогноз цен'!$D$9</f>
        <v>2351.8824000000004</v>
      </c>
      <c r="AS30" s="89">
        <f>AS9*'Прогноз цен'!$D$9</f>
        <v>2897.8551000000002</v>
      </c>
      <c r="AT30" s="89">
        <f>AT9*'Прогноз цен'!$D$9</f>
        <v>3527.8236000000006</v>
      </c>
      <c r="AU30" s="89">
        <f>AU9*'Прогноз цен'!$D$9</f>
        <v>4031.7984000000006</v>
      </c>
      <c r="AV30" s="89">
        <f>AV9*'Прогноз цен'!$D$9</f>
        <v>4199.7900000000009</v>
      </c>
      <c r="AW30" s="89">
        <f>AW9*'Прогноз цен'!$D$9</f>
        <v>713.96430000000021</v>
      </c>
      <c r="AX30" s="89">
        <f>AX9*'Прогноз цен'!$E$9</f>
        <v>352.78236000000004</v>
      </c>
      <c r="AY30" s="89">
        <f>AY9*'Прогноз цен'!$E$9</f>
        <v>705.56472000000008</v>
      </c>
      <c r="AZ30" s="89">
        <f>AZ9*'Прогноз цен'!$E$9</f>
        <v>1322.9338500000001</v>
      </c>
      <c r="BA30" s="89">
        <f>BA9*'Прогноз цен'!$E$9</f>
        <v>1852.1073900000004</v>
      </c>
      <c r="BB30" s="89">
        <f>BB9*'Прогноз цен'!$E$9</f>
        <v>1763.9118000000003</v>
      </c>
      <c r="BC30" s="89">
        <f>BC9*'Прогноз цен'!$E$9</f>
        <v>2116.6941600000005</v>
      </c>
      <c r="BD30" s="89">
        <f>BD9*'Прогноз цен'!$E$9</f>
        <v>2469.4765200000006</v>
      </c>
      <c r="BE30" s="89">
        <f>BE9*'Прогноз цен'!$E$9</f>
        <v>3042.7478550000001</v>
      </c>
      <c r="BF30" s="89">
        <f>BF9*'Прогноз цен'!$E$9</f>
        <v>3704.2147800000007</v>
      </c>
      <c r="BG30" s="89">
        <f>BG9*'Прогноз цен'!$E$9</f>
        <v>4233.3883200000009</v>
      </c>
      <c r="BH30" s="89">
        <f>BH9*'Прогноз цен'!$E$9</f>
        <v>4409.7795000000006</v>
      </c>
      <c r="BI30" s="89">
        <f>BI9*'Прогноз цен'!$E$9</f>
        <v>749.66251500000021</v>
      </c>
      <c r="BJ30" s="89">
        <f>BJ9*'Прогноз цен'!$F$9</f>
        <v>370.42147800000009</v>
      </c>
      <c r="BK30" s="89">
        <f>BK9*'Прогноз цен'!$F$9</f>
        <v>740.84295600000019</v>
      </c>
      <c r="BL30" s="89">
        <f>BL9*'Прогноз цен'!$F$9</f>
        <v>1389.0805425000003</v>
      </c>
      <c r="BM30" s="89">
        <f>BM9*'Прогноз цен'!$F$9</f>
        <v>1944.7127595000004</v>
      </c>
      <c r="BN30" s="89">
        <f>BN9*'Прогноз цен'!$F$9</f>
        <v>1852.1073900000004</v>
      </c>
      <c r="BO30" s="89">
        <f>BO9*'Прогноз цен'!$F$9</f>
        <v>2222.5288680000003</v>
      </c>
      <c r="BP30" s="89">
        <f>BP9*'Прогноз цен'!$F$9</f>
        <v>2592.950346000001</v>
      </c>
      <c r="BQ30" s="89">
        <f>BQ9*'Прогноз цен'!$F$9</f>
        <v>3194.8852477500004</v>
      </c>
      <c r="BR30" s="89">
        <f>BR9*'Прогноз цен'!$F$9</f>
        <v>3889.4255190000008</v>
      </c>
      <c r="BS30" s="89">
        <f>BS9*'Прогноз цен'!$F$9</f>
        <v>4445.0577360000007</v>
      </c>
      <c r="BT30" s="89">
        <f>BT9*'Прогноз цен'!$F$9</f>
        <v>4630.2684750000008</v>
      </c>
      <c r="BU30" s="89">
        <f>BU9*'Прогноз цен'!$F$9</f>
        <v>787.14564075000021</v>
      </c>
      <c r="BV30" s="89">
        <f>BV9*'Прогноз цен'!$G$9</f>
        <v>388.94255190000013</v>
      </c>
      <c r="BW30" s="89">
        <f>BW9*'Прогноз цен'!$G$9</f>
        <v>777.88510380000025</v>
      </c>
      <c r="BX30" s="89">
        <f>BX9*'Прогноз цен'!$G$9</f>
        <v>1458.5345696250004</v>
      </c>
      <c r="BY30" s="89">
        <f>BY9*'Прогноз цен'!$G$9</f>
        <v>2041.9483974750005</v>
      </c>
      <c r="BZ30" s="89">
        <f>BZ9*'Прогноз цен'!$G$9</f>
        <v>1944.7127595000004</v>
      </c>
      <c r="CA30" s="89">
        <f>CA9*'Прогноз цен'!$G$9</f>
        <v>2333.6553114000008</v>
      </c>
      <c r="CB30" s="89">
        <f>CB9*'Прогноз цен'!$G$9</f>
        <v>2722.5978633000009</v>
      </c>
      <c r="CC30" s="89">
        <f>CC9*'Прогноз цен'!$G$9</f>
        <v>3354.6295101375003</v>
      </c>
      <c r="CD30" s="89">
        <f>CD9*'Прогноз цен'!$G$9</f>
        <v>4083.8967949500011</v>
      </c>
      <c r="CE30" s="89">
        <f>CE9*'Прогноз цен'!$G$9</f>
        <v>4667.3106228000015</v>
      </c>
      <c r="CF30" s="89">
        <f>CF9*'Прогноз цен'!$G$9</f>
        <v>4861.7818987500013</v>
      </c>
      <c r="CG30" s="89">
        <f>CG9*'Прогноз цен'!$G$9</f>
        <v>826.50292278750032</v>
      </c>
      <c r="CH30" s="89">
        <f>CH9*'Прогноз цен'!$H$9</f>
        <v>408.38967949500011</v>
      </c>
      <c r="CI30" s="89">
        <f>CI9*'Прогноз цен'!$H$9</f>
        <v>816.77935899000022</v>
      </c>
      <c r="CJ30" s="89">
        <f>CJ9*'Прогноз цен'!$H$9</f>
        <v>1531.4612981062503</v>
      </c>
      <c r="CK30" s="89">
        <f>CK9*'Прогноз цен'!$H$9</f>
        <v>2144.0458173487505</v>
      </c>
      <c r="CL30" s="89">
        <f>CL9*'Прогноз цен'!$H$9</f>
        <v>2041.9483974750005</v>
      </c>
      <c r="CM30" s="89">
        <f>CM9*'Прогноз цен'!$H$9</f>
        <v>2450.3380769700007</v>
      </c>
      <c r="CN30" s="89">
        <f>CN9*'Прогноз цен'!$H$9</f>
        <v>2858.7277564650012</v>
      </c>
      <c r="CO30" s="89">
        <f>CO9*'Прогноз цен'!$H$9</f>
        <v>3522.3609856443754</v>
      </c>
      <c r="CP30" s="89">
        <f>CP9*'Прогноз цен'!$H$9</f>
        <v>4288.0916346975009</v>
      </c>
      <c r="CQ30" s="89">
        <f>CQ9*'Прогноз цен'!$H$9</f>
        <v>4900.6761539400013</v>
      </c>
      <c r="CR30" s="89">
        <f>CR9*'Прогноз цен'!$H$9</f>
        <v>5104.8709936875011</v>
      </c>
      <c r="CS30" s="89">
        <f>CS9*'Прогноз цен'!$H$9</f>
        <v>867.82806892687529</v>
      </c>
      <c r="CT30" s="89">
        <f>CT9*'Прогноз цен'!$I$9</f>
        <v>428.8091634697501</v>
      </c>
      <c r="CU30" s="89">
        <f>CU9*'Прогноз цен'!$I$9</f>
        <v>857.61832693950021</v>
      </c>
      <c r="CV30" s="89">
        <f>CV9*'Прогноз цен'!$I$9</f>
        <v>1608.0343630115631</v>
      </c>
      <c r="CW30" s="89">
        <f>CW9*'Прогноз цен'!$I$9</f>
        <v>2251.248108216188</v>
      </c>
      <c r="CX30" s="89">
        <f>CX9*'Прогноз цен'!$I$9</f>
        <v>2144.0458173487505</v>
      </c>
      <c r="CY30" s="89">
        <f>CY9*'Прогноз цен'!$I$9</f>
        <v>2572.8549808185007</v>
      </c>
      <c r="CZ30" s="89">
        <f>CZ9*'Прогноз цен'!$I$9</f>
        <v>3001.6641442882515</v>
      </c>
      <c r="DA30" s="89">
        <f>DA9*'Прогноз цен'!$I$9</f>
        <v>3698.4790349265945</v>
      </c>
      <c r="DB30" s="89">
        <f>DB9*'Прогноз цен'!$I$9</f>
        <v>4502.4962164323761</v>
      </c>
      <c r="DC30" s="89">
        <f>DC9*'Прогноз цен'!$I$9</f>
        <v>5145.7099616370015</v>
      </c>
      <c r="DD30" s="89">
        <f>DD9*'Прогноз цен'!$I$9</f>
        <v>5360.1145433718766</v>
      </c>
      <c r="DE30" s="89">
        <f>DE9*'Прогноз цен'!$I$9</f>
        <v>911.21947237321911</v>
      </c>
      <c r="DF30" s="89">
        <f>DF9*'Прогноз цен'!$J$9</f>
        <v>450.24962164323767</v>
      </c>
      <c r="DG30" s="89">
        <f>DG9*'Прогноз цен'!$J$9</f>
        <v>900.49924328647535</v>
      </c>
      <c r="DH30" s="89">
        <f>DH9*'Прогноз цен'!$J$9</f>
        <v>1688.4360811621414</v>
      </c>
      <c r="DI30" s="89">
        <f>DI9*'Прогноз цен'!$J$9</f>
        <v>2363.8105136269978</v>
      </c>
      <c r="DJ30" s="89">
        <f>DJ9*'Прогноз цен'!$J$9</f>
        <v>2251.2481082161885</v>
      </c>
      <c r="DK30" s="89">
        <f>DK9*'Прогноз цен'!$J$9</f>
        <v>2701.4977298594263</v>
      </c>
      <c r="DL30" s="89">
        <f>DL9*'Прогноз цен'!$J$9</f>
        <v>3151.7473515026641</v>
      </c>
      <c r="DM30" s="89">
        <f>DM9*'Прогноз цен'!$J$9</f>
        <v>3883.4029866729247</v>
      </c>
      <c r="DN30" s="89">
        <f>DN9*'Прогноз цен'!$J$9</f>
        <v>4727.6210272539956</v>
      </c>
      <c r="DO30" s="89">
        <f>DO9*'Прогноз цен'!$J$9</f>
        <v>5402.9954597188525</v>
      </c>
      <c r="DP30" s="89">
        <f>DP9*'Прогноз цен'!$J$9</f>
        <v>5628.1202705404712</v>
      </c>
      <c r="DQ30" s="89">
        <f>DQ9*'Прогноз цен'!$J$9</f>
        <v>956.78044599188024</v>
      </c>
      <c r="DR30" s="89">
        <f>DR9*'Прогноз цен'!$K$9</f>
        <v>472.76210272539959</v>
      </c>
      <c r="DS30" s="89">
        <f>DS9*'Прогноз цен'!$K$9</f>
        <v>945.52420545079917</v>
      </c>
      <c r="DT30" s="89">
        <f>DT9*'Прогноз цен'!$K$9</f>
        <v>1772.8578852202484</v>
      </c>
      <c r="DU30" s="89">
        <f>DU9*'Прогноз цен'!$K$9</f>
        <v>2482.0010393083476</v>
      </c>
      <c r="DV30" s="89">
        <f>DV9*'Прогноз цен'!$K$9</f>
        <v>2363.8105136269978</v>
      </c>
      <c r="DW30" s="89">
        <f>DW9*'Прогноз цен'!$K$9</f>
        <v>2836.5726163523973</v>
      </c>
      <c r="DX30" s="89">
        <f>DX9*'Прогноз цен'!$K$9</f>
        <v>3309.3347190777972</v>
      </c>
      <c r="DY30" s="89">
        <f>DY9*'Прогноз цен'!$K$9</f>
        <v>4077.5731360065706</v>
      </c>
      <c r="DZ30" s="89">
        <f>DZ9*'Прогноз цен'!$K$9</f>
        <v>4964.0020786166951</v>
      </c>
      <c r="EA30" s="89">
        <f>EA9*'Прогноз цен'!$K$9</f>
        <v>5673.1452327047946</v>
      </c>
      <c r="EB30" s="89">
        <f>EB9*'Прогноз цен'!$K$9</f>
        <v>5909.5262840674941</v>
      </c>
      <c r="EC30" s="89">
        <f>EC9*'Прогноз цен'!$K$9</f>
        <v>1004.6194682914742</v>
      </c>
    </row>
    <row r="31" spans="1:133" s="60" customFormat="1" ht="13.5" customHeight="1">
      <c r="A31" s="51" t="str">
        <f t="shared" si="29"/>
        <v>Сдача в аренду цехов</v>
      </c>
      <c r="B31" s="376">
        <v>0</v>
      </c>
      <c r="C31" s="376">
        <v>0</v>
      </c>
      <c r="D31" s="376">
        <v>0</v>
      </c>
      <c r="E31" s="376">
        <v>0</v>
      </c>
      <c r="F31" s="376">
        <v>0</v>
      </c>
      <c r="G31" s="376">
        <v>0</v>
      </c>
      <c r="H31" s="376">
        <v>0</v>
      </c>
      <c r="I31" s="376">
        <v>0</v>
      </c>
      <c r="J31" s="376">
        <v>0</v>
      </c>
      <c r="K31" s="376">
        <v>0</v>
      </c>
      <c r="L31" s="376">
        <v>0</v>
      </c>
      <c r="M31" s="376">
        <v>0</v>
      </c>
      <c r="N31" s="376">
        <v>0</v>
      </c>
      <c r="O31" s="376">
        <v>0</v>
      </c>
      <c r="P31" s="376">
        <v>0</v>
      </c>
      <c r="Q31" s="376">
        <v>0</v>
      </c>
      <c r="R31" s="376">
        <v>0</v>
      </c>
      <c r="S31" s="376">
        <v>0</v>
      </c>
      <c r="T31" s="376">
        <v>0</v>
      </c>
      <c r="U31" s="376">
        <v>0</v>
      </c>
      <c r="V31" s="376">
        <v>0</v>
      </c>
      <c r="W31" s="376">
        <v>0</v>
      </c>
      <c r="X31" s="376">
        <v>0</v>
      </c>
      <c r="Y31" s="42">
        <f>Y10*'Прогноз цен'!B11</f>
        <v>0</v>
      </c>
      <c r="Z31" s="42">
        <f>Z10*'Прогноз цен'!$C$11</f>
        <v>0</v>
      </c>
      <c r="AA31" s="42">
        <f>AA10*'Прогноз цен'!$C$11</f>
        <v>0</v>
      </c>
      <c r="AB31" s="42">
        <f>AB10*'Прогноз цен'!$C$11</f>
        <v>0</v>
      </c>
      <c r="AC31" s="42">
        <f>AC10*'Прогноз цен'!$C$11</f>
        <v>0</v>
      </c>
      <c r="AD31" s="42">
        <f>AD10*'Прогноз цен'!$C$11</f>
        <v>0</v>
      </c>
      <c r="AE31" s="42">
        <f>AE10*'Прогноз цен'!$C$11</f>
        <v>0</v>
      </c>
      <c r="AF31" s="42">
        <f>AF10*'Прогноз цен'!$C$11</f>
        <v>0</v>
      </c>
      <c r="AG31" s="42">
        <f>AG10*'Прогноз цен'!$C$11</f>
        <v>0</v>
      </c>
      <c r="AH31" s="42">
        <f>AH10*'Прогноз цен'!$C$11</f>
        <v>0</v>
      </c>
      <c r="AI31" s="42">
        <f>AI10*'Прогноз цен'!$C$11</f>
        <v>0</v>
      </c>
      <c r="AJ31" s="42">
        <f>AJ10*'Прогноз цен'!$C$11</f>
        <v>0</v>
      </c>
      <c r="AK31" s="42">
        <f>AK10*'Прогноз цен'!$C$11</f>
        <v>0</v>
      </c>
      <c r="AL31" s="89">
        <f>AL10*'Прогноз цен'!$D$10</f>
        <v>0</v>
      </c>
      <c r="AM31" s="89">
        <f>AM10*'Прогноз цен'!$D$10</f>
        <v>0</v>
      </c>
      <c r="AN31" s="89">
        <f>AN10*'Прогноз цен'!$D$10</f>
        <v>0</v>
      </c>
      <c r="AO31" s="89">
        <f>AO10*'Прогноз цен'!$D$10</f>
        <v>0</v>
      </c>
      <c r="AP31" s="89">
        <f>AP10*'Прогноз цен'!$D$10</f>
        <v>0</v>
      </c>
      <c r="AQ31" s="89">
        <f>AQ10*'Прогноз цен'!$D$10</f>
        <v>0</v>
      </c>
      <c r="AR31" s="89">
        <f>AR10*'Прогноз цен'!$D$10</f>
        <v>0</v>
      </c>
      <c r="AS31" s="89">
        <f>AS10*'Прогноз цен'!$D$10</f>
        <v>0</v>
      </c>
      <c r="AT31" s="89">
        <f>AT10*'Прогноз цен'!$D$10</f>
        <v>0</v>
      </c>
      <c r="AU31" s="89">
        <f>AU10*'Прогноз цен'!$D$10</f>
        <v>0</v>
      </c>
      <c r="AV31" s="89">
        <f>AV10*'Прогноз цен'!$D$10</f>
        <v>0</v>
      </c>
      <c r="AW31" s="89">
        <f>AW10*'Прогноз цен'!$D$10</f>
        <v>0</v>
      </c>
      <c r="AX31" s="89">
        <f>AX10*'Прогноз цен'!$E$10</f>
        <v>600</v>
      </c>
      <c r="AY31" s="89">
        <f>AY10*'Прогноз цен'!$E$10</f>
        <v>600</v>
      </c>
      <c r="AZ31" s="89">
        <f>AZ10*'Прогноз цен'!$E$10</f>
        <v>600</v>
      </c>
      <c r="BA31" s="89">
        <f>BA10*'Прогноз цен'!$E$10</f>
        <v>600</v>
      </c>
      <c r="BB31" s="89">
        <f>BB10*'Прогноз цен'!$E$10</f>
        <v>600</v>
      </c>
      <c r="BC31" s="89">
        <f>BC10*'Прогноз цен'!$E$10</f>
        <v>600</v>
      </c>
      <c r="BD31" s="89">
        <f>BD10*'Прогноз цен'!$E$10</f>
        <v>600</v>
      </c>
      <c r="BE31" s="89">
        <f>BE10*'Прогноз цен'!$E$10</f>
        <v>600</v>
      </c>
      <c r="BF31" s="89">
        <f>BF10*'Прогноз цен'!$E$10</f>
        <v>600</v>
      </c>
      <c r="BG31" s="89">
        <f>BG10*'Прогноз цен'!$E$10</f>
        <v>600</v>
      </c>
      <c r="BH31" s="89">
        <f>BH10*'Прогноз цен'!$E$10</f>
        <v>600</v>
      </c>
      <c r="BI31" s="89">
        <f>BI10*'Прогноз цен'!$E$10</f>
        <v>600</v>
      </c>
      <c r="BJ31" s="89">
        <f>BJ10*'Прогноз цен'!$F$10</f>
        <v>1260.0000000000002</v>
      </c>
      <c r="BK31" s="89">
        <f>BK10*'Прогноз цен'!$F$10</f>
        <v>1260.0000000000002</v>
      </c>
      <c r="BL31" s="89">
        <f>BL10*'Прогноз цен'!$F$10</f>
        <v>1260.0000000000002</v>
      </c>
      <c r="BM31" s="89">
        <f>BM10*'Прогноз цен'!$F$10</f>
        <v>1260.0000000000002</v>
      </c>
      <c r="BN31" s="89">
        <f>BN10*'Прогноз цен'!$F$10</f>
        <v>1260.0000000000002</v>
      </c>
      <c r="BO31" s="89">
        <f>BO10*'Прогноз цен'!$F$10</f>
        <v>1260.0000000000002</v>
      </c>
      <c r="BP31" s="89">
        <f>BP10*'Прогноз цен'!$F$10</f>
        <v>1260.0000000000002</v>
      </c>
      <c r="BQ31" s="89">
        <f>BQ10*'Прогноз цен'!$F$10</f>
        <v>1260.0000000000002</v>
      </c>
      <c r="BR31" s="89">
        <f>BR10*'Прогноз цен'!$F$10</f>
        <v>1260.0000000000002</v>
      </c>
      <c r="BS31" s="89">
        <f>BS10*'Прогноз цен'!$F$10</f>
        <v>1260.0000000000002</v>
      </c>
      <c r="BT31" s="89">
        <f>BT10*'Прогноз цен'!$F$10</f>
        <v>1260.0000000000002</v>
      </c>
      <c r="BU31" s="89">
        <f>BU10*'Прогноз цен'!$F$10</f>
        <v>1260.0000000000002</v>
      </c>
      <c r="BV31" s="89">
        <f>BV10*'Прогноз цен'!$G$10</f>
        <v>1323.0000000000002</v>
      </c>
      <c r="BW31" s="89">
        <f>BW10*'Прогноз цен'!$G$10</f>
        <v>1323.0000000000002</v>
      </c>
      <c r="BX31" s="89">
        <f>BX10*'Прогноз цен'!$G$10</f>
        <v>1323.0000000000002</v>
      </c>
      <c r="BY31" s="89">
        <f>BY10*'Прогноз цен'!$G$10</f>
        <v>1323.0000000000002</v>
      </c>
      <c r="BZ31" s="89">
        <f>BZ10*'Прогноз цен'!$G$10</f>
        <v>1323.0000000000002</v>
      </c>
      <c r="CA31" s="89">
        <f>CA10*'Прогноз цен'!$G$10</f>
        <v>1323.0000000000002</v>
      </c>
      <c r="CB31" s="89">
        <f>CB10*'Прогноз цен'!$G$10</f>
        <v>1323.0000000000002</v>
      </c>
      <c r="CC31" s="89">
        <f>CC10*'Прогноз цен'!$G$10</f>
        <v>1323.0000000000002</v>
      </c>
      <c r="CD31" s="89">
        <f>CD10*'Прогноз цен'!$G$10</f>
        <v>1323.0000000000002</v>
      </c>
      <c r="CE31" s="89">
        <f>CE10*'Прогноз цен'!$G$10</f>
        <v>1323.0000000000002</v>
      </c>
      <c r="CF31" s="89">
        <f>CF10*'Прогноз цен'!$G$10</f>
        <v>1323.0000000000002</v>
      </c>
      <c r="CG31" s="89">
        <f>CG10*'Прогноз цен'!$G$10</f>
        <v>1323.0000000000002</v>
      </c>
      <c r="CH31" s="89">
        <f>CH10*'Прогноз цен'!$H$10</f>
        <v>1389.1500000000003</v>
      </c>
      <c r="CI31" s="89">
        <f>CI10*'Прогноз цен'!$H$10</f>
        <v>1389.1500000000003</v>
      </c>
      <c r="CJ31" s="89">
        <f>CJ10*'Прогноз цен'!$H$10</f>
        <v>1389.1500000000003</v>
      </c>
      <c r="CK31" s="89">
        <f>CK10*'Прогноз цен'!$H$10</f>
        <v>1389.1500000000003</v>
      </c>
      <c r="CL31" s="89">
        <f>CL10*'Прогноз цен'!$H$10</f>
        <v>1389.1500000000003</v>
      </c>
      <c r="CM31" s="89">
        <f>CM10*'Прогноз цен'!$H$10</f>
        <v>1389.1500000000003</v>
      </c>
      <c r="CN31" s="89">
        <f>CN10*'Прогноз цен'!$H$10</f>
        <v>1389.1500000000003</v>
      </c>
      <c r="CO31" s="89">
        <f>CO10*'Прогноз цен'!$H$10</f>
        <v>1389.1500000000003</v>
      </c>
      <c r="CP31" s="89">
        <f>CP10*'Прогноз цен'!$H$10</f>
        <v>1389.1500000000003</v>
      </c>
      <c r="CQ31" s="89">
        <f>CQ10*'Прогноз цен'!$H$10</f>
        <v>1389.1500000000003</v>
      </c>
      <c r="CR31" s="89">
        <f>CR10*'Прогноз цен'!$H$10</f>
        <v>1389.1500000000003</v>
      </c>
      <c r="CS31" s="89">
        <f>CS10*'Прогноз цен'!$H$10</f>
        <v>1389.1500000000003</v>
      </c>
      <c r="CT31" s="89">
        <f>CT10*'Прогноз цен'!$I$10</f>
        <v>1458.6075000000003</v>
      </c>
      <c r="CU31" s="89">
        <f>CU10*'Прогноз цен'!$I$10</f>
        <v>1458.6075000000003</v>
      </c>
      <c r="CV31" s="89">
        <f>CV10*'Прогноз цен'!$I$10</f>
        <v>1458.6075000000003</v>
      </c>
      <c r="CW31" s="89">
        <f>CW10*'Прогноз цен'!$I$10</f>
        <v>1458.6075000000003</v>
      </c>
      <c r="CX31" s="89">
        <f>CX10*'Прогноз цен'!$I$10</f>
        <v>1458.6075000000003</v>
      </c>
      <c r="CY31" s="89">
        <f>CY10*'Прогноз цен'!$I$10</f>
        <v>1458.6075000000003</v>
      </c>
      <c r="CZ31" s="89">
        <f>CZ10*'Прогноз цен'!$I$10</f>
        <v>1458.6075000000003</v>
      </c>
      <c r="DA31" s="89">
        <f>DA10*'Прогноз цен'!$I$10</f>
        <v>1458.6075000000003</v>
      </c>
      <c r="DB31" s="89">
        <f>DB10*'Прогноз цен'!$I$10</f>
        <v>1458.6075000000003</v>
      </c>
      <c r="DC31" s="89">
        <f>DC10*'Прогноз цен'!$I$10</f>
        <v>1458.6075000000003</v>
      </c>
      <c r="DD31" s="89">
        <f>DD10*'Прогноз цен'!$I$10</f>
        <v>1458.6075000000003</v>
      </c>
      <c r="DE31" s="89">
        <f>DE10*'Прогноз цен'!$I$10</f>
        <v>1458.6075000000003</v>
      </c>
      <c r="DF31" s="89">
        <f>DF10*'Прогноз цен'!$J$10</f>
        <v>1531.5378750000004</v>
      </c>
      <c r="DG31" s="89">
        <f>DG10*'Прогноз цен'!$J$10</f>
        <v>1531.5378750000004</v>
      </c>
      <c r="DH31" s="89">
        <f>DH10*'Прогноз цен'!$J$10</f>
        <v>1531.5378750000004</v>
      </c>
      <c r="DI31" s="89">
        <f>DI10*'Прогноз цен'!$J$10</f>
        <v>1531.5378750000004</v>
      </c>
      <c r="DJ31" s="89">
        <f>DJ10*'Прогноз цен'!$J$10</f>
        <v>1531.5378750000004</v>
      </c>
      <c r="DK31" s="89">
        <f>DK10*'Прогноз цен'!$J$10</f>
        <v>1531.5378750000004</v>
      </c>
      <c r="DL31" s="89">
        <f>DL10*'Прогноз цен'!$J$10</f>
        <v>1531.5378750000004</v>
      </c>
      <c r="DM31" s="89">
        <f>DM10*'Прогноз цен'!$J$10</f>
        <v>1531.5378750000004</v>
      </c>
      <c r="DN31" s="89">
        <f>DN10*'Прогноз цен'!$J$10</f>
        <v>1531.5378750000004</v>
      </c>
      <c r="DO31" s="89">
        <f>DO10*'Прогноз цен'!$J$10</f>
        <v>1531.5378750000004</v>
      </c>
      <c r="DP31" s="89">
        <f>DP10*'Прогноз цен'!$J$10</f>
        <v>1531.5378750000004</v>
      </c>
      <c r="DQ31" s="89">
        <f>DQ10*'Прогноз цен'!$J$10</f>
        <v>1531.5378750000004</v>
      </c>
      <c r="DR31" s="89">
        <f>DR10*'Прогноз цен'!$K$10</f>
        <v>1608.1147687500006</v>
      </c>
      <c r="DS31" s="89">
        <f>DS10*'Прогноз цен'!$K$10</f>
        <v>1608.1147687500006</v>
      </c>
      <c r="DT31" s="89">
        <f>DT10*'Прогноз цен'!$K$10</f>
        <v>1608.1147687500006</v>
      </c>
      <c r="DU31" s="89">
        <f>DU10*'Прогноз цен'!$K$10</f>
        <v>1608.1147687500006</v>
      </c>
      <c r="DV31" s="89">
        <f>DV10*'Прогноз цен'!$K$10</f>
        <v>1608.1147687500006</v>
      </c>
      <c r="DW31" s="89">
        <f>DW10*'Прогноз цен'!$K$10</f>
        <v>1608.1147687500006</v>
      </c>
      <c r="DX31" s="89">
        <f>DX10*'Прогноз цен'!$K$10</f>
        <v>1608.1147687500006</v>
      </c>
      <c r="DY31" s="89">
        <f>DY10*'Прогноз цен'!$K$10</f>
        <v>1608.1147687500006</v>
      </c>
      <c r="DZ31" s="89">
        <f>DZ10*'Прогноз цен'!$K$10</f>
        <v>1608.1147687500006</v>
      </c>
      <c r="EA31" s="89">
        <f>EA10*'Прогноз цен'!$K$10</f>
        <v>1608.1147687500006</v>
      </c>
      <c r="EB31" s="89">
        <f>EB10*'Прогноз цен'!$K$10</f>
        <v>1608.1147687500006</v>
      </c>
      <c r="EC31" s="89">
        <f>EC10*'Прогноз цен'!$K$10</f>
        <v>1608.1147687500006</v>
      </c>
    </row>
    <row r="32" spans="1:133" s="81" customFormat="1" ht="13.5" customHeight="1">
      <c r="A32" s="125" t="s">
        <v>195</v>
      </c>
      <c r="B32" s="107">
        <f t="shared" ref="B32:X32" si="30">SUM(B26:B31)</f>
        <v>0</v>
      </c>
      <c r="C32" s="107">
        <f t="shared" si="30"/>
        <v>0</v>
      </c>
      <c r="D32" s="107">
        <f t="shared" si="30"/>
        <v>0</v>
      </c>
      <c r="E32" s="107">
        <f t="shared" si="30"/>
        <v>0</v>
      </c>
      <c r="F32" s="107">
        <f t="shared" si="30"/>
        <v>0</v>
      </c>
      <c r="G32" s="107">
        <f t="shared" si="30"/>
        <v>0</v>
      </c>
      <c r="H32" s="107">
        <f t="shared" si="30"/>
        <v>0</v>
      </c>
      <c r="I32" s="107">
        <f t="shared" si="30"/>
        <v>0</v>
      </c>
      <c r="J32" s="107">
        <f t="shared" si="30"/>
        <v>0</v>
      </c>
      <c r="K32" s="107">
        <f t="shared" si="30"/>
        <v>0</v>
      </c>
      <c r="L32" s="107">
        <f t="shared" si="30"/>
        <v>0</v>
      </c>
      <c r="M32" s="107">
        <f t="shared" si="30"/>
        <v>0</v>
      </c>
      <c r="N32" s="107">
        <f t="shared" si="30"/>
        <v>0</v>
      </c>
      <c r="O32" s="107">
        <f t="shared" si="30"/>
        <v>0</v>
      </c>
      <c r="P32" s="107">
        <f t="shared" si="30"/>
        <v>0</v>
      </c>
      <c r="Q32" s="107">
        <f t="shared" si="30"/>
        <v>0</v>
      </c>
      <c r="R32" s="107">
        <f t="shared" si="30"/>
        <v>0</v>
      </c>
      <c r="S32" s="107">
        <f t="shared" si="30"/>
        <v>0</v>
      </c>
      <c r="T32" s="107">
        <f t="shared" si="30"/>
        <v>0</v>
      </c>
      <c r="U32" s="107">
        <f t="shared" si="30"/>
        <v>0</v>
      </c>
      <c r="V32" s="107">
        <f t="shared" si="30"/>
        <v>0</v>
      </c>
      <c r="W32" s="107">
        <f t="shared" si="30"/>
        <v>0</v>
      </c>
      <c r="X32" s="107">
        <f t="shared" si="30"/>
        <v>0</v>
      </c>
      <c r="Y32" s="107">
        <f>SUM(Y26:Y31)</f>
        <v>4249.5699000000004</v>
      </c>
      <c r="Z32" s="107">
        <f t="shared" ref="Z32:CK32" si="31">SUM(Z26:Z31)</f>
        <v>2799.7166399999996</v>
      </c>
      <c r="AA32" s="107">
        <f t="shared" si="31"/>
        <v>7199.2713599999997</v>
      </c>
      <c r="AB32" s="107">
        <f t="shared" si="31"/>
        <v>17998.178400000001</v>
      </c>
      <c r="AC32" s="107">
        <f t="shared" si="31"/>
        <v>31496.8122</v>
      </c>
      <c r="AD32" s="107">
        <f t="shared" si="31"/>
        <v>31996.761600000002</v>
      </c>
      <c r="AE32" s="107">
        <f t="shared" si="31"/>
        <v>38396.113919999996</v>
      </c>
      <c r="AF32" s="107">
        <f t="shared" si="31"/>
        <v>44795.466240000009</v>
      </c>
      <c r="AG32" s="107">
        <f t="shared" si="31"/>
        <v>55194.413759999996</v>
      </c>
      <c r="AH32" s="107">
        <f t="shared" si="31"/>
        <v>67193.199360000013</v>
      </c>
      <c r="AI32" s="107">
        <f t="shared" si="31"/>
        <v>76792.227839999992</v>
      </c>
      <c r="AJ32" s="107">
        <f t="shared" si="31"/>
        <v>79991.90399999998</v>
      </c>
      <c r="AK32" s="107">
        <f t="shared" si="31"/>
        <v>16998.279600000002</v>
      </c>
      <c r="AL32" s="107">
        <f t="shared" si="31"/>
        <v>8399.1499200000017</v>
      </c>
      <c r="AM32" s="107">
        <f t="shared" si="31"/>
        <v>16798.299840000003</v>
      </c>
      <c r="AN32" s="107">
        <f t="shared" si="31"/>
        <v>31496.8122</v>
      </c>
      <c r="AO32" s="107">
        <f t="shared" si="31"/>
        <v>44095.537080000002</v>
      </c>
      <c r="AP32" s="107">
        <f t="shared" si="31"/>
        <v>41995.749600000003</v>
      </c>
      <c r="AQ32" s="107">
        <f t="shared" si="31"/>
        <v>50394.899519999999</v>
      </c>
      <c r="AR32" s="107">
        <f t="shared" si="31"/>
        <v>58794.04944000001</v>
      </c>
      <c r="AS32" s="107">
        <f t="shared" si="31"/>
        <v>72442.668059999982</v>
      </c>
      <c r="AT32" s="107">
        <f t="shared" si="31"/>
        <v>88191.074160000004</v>
      </c>
      <c r="AU32" s="107">
        <f t="shared" si="31"/>
        <v>100789.79904</v>
      </c>
      <c r="AV32" s="107">
        <f t="shared" si="31"/>
        <v>104989.37399999998</v>
      </c>
      <c r="AW32" s="107">
        <f t="shared" si="31"/>
        <v>17848.193579999999</v>
      </c>
      <c r="AX32" s="107">
        <f t="shared" si="31"/>
        <v>9419.1074160000007</v>
      </c>
      <c r="AY32" s="107">
        <f t="shared" si="31"/>
        <v>18238.214832000001</v>
      </c>
      <c r="AZ32" s="107">
        <f t="shared" si="31"/>
        <v>33671.65281</v>
      </c>
      <c r="BA32" s="107">
        <f t="shared" si="31"/>
        <v>46900.313933999998</v>
      </c>
      <c r="BB32" s="107">
        <f t="shared" si="31"/>
        <v>44695.537080000002</v>
      </c>
      <c r="BC32" s="107">
        <f t="shared" si="31"/>
        <v>53514.644496000001</v>
      </c>
      <c r="BD32" s="107">
        <f t="shared" si="31"/>
        <v>62333.751912000014</v>
      </c>
      <c r="BE32" s="107">
        <f t="shared" si="31"/>
        <v>76664.801462999982</v>
      </c>
      <c r="BF32" s="107">
        <f t="shared" si="31"/>
        <v>93200.627867999996</v>
      </c>
      <c r="BG32" s="107">
        <f t="shared" si="31"/>
        <v>106429.288992</v>
      </c>
      <c r="BH32" s="107">
        <f t="shared" si="31"/>
        <v>110838.84270000001</v>
      </c>
      <c r="BI32" s="107">
        <f t="shared" si="31"/>
        <v>19340.603259000003</v>
      </c>
      <c r="BJ32" s="107">
        <f t="shared" si="31"/>
        <v>10520.062786800001</v>
      </c>
      <c r="BK32" s="107">
        <f t="shared" si="31"/>
        <v>19780.125573600002</v>
      </c>
      <c r="BL32" s="107">
        <f t="shared" si="31"/>
        <v>35985.235450500004</v>
      </c>
      <c r="BM32" s="107">
        <f t="shared" si="31"/>
        <v>49875.329630700006</v>
      </c>
      <c r="BN32" s="107">
        <f t="shared" si="31"/>
        <v>47560.313933999998</v>
      </c>
      <c r="BO32" s="107">
        <f t="shared" si="31"/>
        <v>56820.376720800006</v>
      </c>
      <c r="BP32" s="107">
        <f t="shared" si="31"/>
        <v>66080.439507600022</v>
      </c>
      <c r="BQ32" s="107">
        <f t="shared" si="31"/>
        <v>81128.041536150005</v>
      </c>
      <c r="BR32" s="107">
        <f t="shared" si="31"/>
        <v>98490.659261400011</v>
      </c>
      <c r="BS32" s="107">
        <f t="shared" si="31"/>
        <v>112380.75344160001</v>
      </c>
      <c r="BT32" s="107">
        <f t="shared" si="31"/>
        <v>117010.78483500001</v>
      </c>
      <c r="BU32" s="107">
        <f t="shared" si="31"/>
        <v>20937.633421950006</v>
      </c>
      <c r="BV32" s="107">
        <f t="shared" si="31"/>
        <v>11046.065926140001</v>
      </c>
      <c r="BW32" s="107">
        <f t="shared" si="31"/>
        <v>20769.131852280003</v>
      </c>
      <c r="BX32" s="107">
        <f t="shared" si="31"/>
        <v>37784.497223024999</v>
      </c>
      <c r="BY32" s="107">
        <f t="shared" si="31"/>
        <v>52369.096112235013</v>
      </c>
      <c r="BZ32" s="107">
        <f t="shared" si="31"/>
        <v>49938.329630700006</v>
      </c>
      <c r="CA32" s="107">
        <f t="shared" si="31"/>
        <v>59661.395556839998</v>
      </c>
      <c r="CB32" s="107">
        <f t="shared" si="31"/>
        <v>69384.461482980027</v>
      </c>
      <c r="CC32" s="107">
        <f t="shared" si="31"/>
        <v>85184.443612957504</v>
      </c>
      <c r="CD32" s="107">
        <f t="shared" si="31"/>
        <v>103415.19222447003</v>
      </c>
      <c r="CE32" s="107">
        <f t="shared" si="31"/>
        <v>117999.79111368</v>
      </c>
      <c r="CF32" s="107">
        <f t="shared" si="31"/>
        <v>122861.32407675002</v>
      </c>
      <c r="CG32" s="107">
        <f t="shared" si="31"/>
        <v>21984.51509304751</v>
      </c>
      <c r="CH32" s="107">
        <f t="shared" si="31"/>
        <v>11598.369222447001</v>
      </c>
      <c r="CI32" s="107">
        <f t="shared" si="31"/>
        <v>21807.588444894005</v>
      </c>
      <c r="CJ32" s="107">
        <f t="shared" si="31"/>
        <v>39673.722084176261</v>
      </c>
      <c r="CK32" s="107">
        <f t="shared" si="31"/>
        <v>54987.550917846762</v>
      </c>
      <c r="CL32" s="107">
        <f t="shared" ref="CL32:EC32" si="32">SUM(CL26:CL31)</f>
        <v>52435.246112235014</v>
      </c>
      <c r="CM32" s="107">
        <f t="shared" si="32"/>
        <v>62644.465334682012</v>
      </c>
      <c r="CN32" s="107">
        <f t="shared" si="32"/>
        <v>72853.684557129018</v>
      </c>
      <c r="CO32" s="107">
        <f t="shared" si="32"/>
        <v>89443.665793605382</v>
      </c>
      <c r="CP32" s="107">
        <f t="shared" si="32"/>
        <v>108585.95183569352</v>
      </c>
      <c r="CQ32" s="107">
        <f t="shared" si="32"/>
        <v>123899.78066936402</v>
      </c>
      <c r="CR32" s="107">
        <f t="shared" si="32"/>
        <v>129004.39028058751</v>
      </c>
      <c r="CS32" s="107">
        <f t="shared" si="32"/>
        <v>23083.740847699883</v>
      </c>
      <c r="CT32" s="107">
        <f t="shared" si="32"/>
        <v>12178.287683569353</v>
      </c>
      <c r="CU32" s="107">
        <f t="shared" si="32"/>
        <v>22897.967867138708</v>
      </c>
      <c r="CV32" s="107">
        <f t="shared" si="32"/>
        <v>41657.408188385074</v>
      </c>
      <c r="CW32" s="107">
        <f t="shared" si="32"/>
        <v>57736.928463739096</v>
      </c>
      <c r="CX32" s="107">
        <f t="shared" si="32"/>
        <v>55057.008417846759</v>
      </c>
      <c r="CY32" s="107">
        <f t="shared" si="32"/>
        <v>65776.688601416114</v>
      </c>
      <c r="CZ32" s="107">
        <f t="shared" si="32"/>
        <v>76496.368784985476</v>
      </c>
      <c r="DA32" s="107">
        <f t="shared" si="32"/>
        <v>93915.849083285662</v>
      </c>
      <c r="DB32" s="107">
        <f t="shared" si="32"/>
        <v>114015.24942747819</v>
      </c>
      <c r="DC32" s="107">
        <f t="shared" si="32"/>
        <v>130094.76970283221</v>
      </c>
      <c r="DD32" s="107">
        <f t="shared" si="32"/>
        <v>135454.6097946169</v>
      </c>
      <c r="DE32" s="107">
        <f t="shared" si="32"/>
        <v>24237.927890084877</v>
      </c>
      <c r="DF32" s="107">
        <f t="shared" si="32"/>
        <v>12787.202067747819</v>
      </c>
      <c r="DG32" s="107">
        <f t="shared" si="32"/>
        <v>24042.866260495641</v>
      </c>
      <c r="DH32" s="107">
        <f t="shared" si="32"/>
        <v>43740.278597804332</v>
      </c>
      <c r="DI32" s="107">
        <f t="shared" si="32"/>
        <v>60623.774886926054</v>
      </c>
      <c r="DJ32" s="107">
        <f t="shared" si="32"/>
        <v>57809.858838739099</v>
      </c>
      <c r="DK32" s="107">
        <f t="shared" si="32"/>
        <v>69065.523031486926</v>
      </c>
      <c r="DL32" s="107">
        <f t="shared" si="32"/>
        <v>80321.18722423476</v>
      </c>
      <c r="DM32" s="107">
        <f t="shared" si="32"/>
        <v>98611.641537449934</v>
      </c>
      <c r="DN32" s="107">
        <f t="shared" si="32"/>
        <v>119716.0118988521</v>
      </c>
      <c r="DO32" s="107">
        <f t="shared" si="32"/>
        <v>136599.50818797387</v>
      </c>
      <c r="DP32" s="107">
        <f t="shared" si="32"/>
        <v>142227.34028434777</v>
      </c>
      <c r="DQ32" s="107">
        <f t="shared" si="32"/>
        <v>25449.824284589122</v>
      </c>
      <c r="DR32" s="107">
        <f t="shared" si="32"/>
        <v>13426.562171135214</v>
      </c>
      <c r="DS32" s="107">
        <f t="shared" si="32"/>
        <v>25245.009573520427</v>
      </c>
      <c r="DT32" s="107">
        <f t="shared" si="32"/>
        <v>45927.292527694539</v>
      </c>
      <c r="DU32" s="107">
        <f t="shared" si="32"/>
        <v>63654.96363127236</v>
      </c>
      <c r="DV32" s="107">
        <f t="shared" si="32"/>
        <v>60700.351780676057</v>
      </c>
      <c r="DW32" s="107">
        <f t="shared" si="32"/>
        <v>72518.799183061274</v>
      </c>
      <c r="DX32" s="107">
        <f t="shared" si="32"/>
        <v>84337.246585446497</v>
      </c>
      <c r="DY32" s="107">
        <f t="shared" si="32"/>
        <v>103542.22361432243</v>
      </c>
      <c r="DZ32" s="107">
        <f t="shared" si="32"/>
        <v>125701.81249379473</v>
      </c>
      <c r="EA32" s="107">
        <f t="shared" si="32"/>
        <v>143429.48359737254</v>
      </c>
      <c r="EB32" s="107">
        <f t="shared" si="32"/>
        <v>149338.70729856513</v>
      </c>
      <c r="EC32" s="107">
        <f t="shared" si="32"/>
        <v>26722.315498818578</v>
      </c>
    </row>
    <row r="33" spans="1:61" s="62" customFormat="1" ht="13.5" customHeigh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</row>
    <row r="34" spans="1:61" s="62" customFormat="1" ht="13.5" customHeight="1">
      <c r="A34" s="79" t="s">
        <v>48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60"/>
      <c r="N34" s="60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82"/>
      <c r="AA34" s="82"/>
      <c r="AB34" s="82"/>
      <c r="AC34" s="83"/>
      <c r="AD34" s="83"/>
      <c r="AE34" s="83"/>
      <c r="AF34" s="86"/>
      <c r="AG34" s="329"/>
      <c r="AH34" s="83"/>
      <c r="AJ34" s="83"/>
      <c r="AK34" s="83"/>
      <c r="AL34" s="83"/>
      <c r="AM34" s="83"/>
      <c r="AN34" s="83"/>
      <c r="AO34" s="83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</row>
    <row r="35" spans="1:61" s="62" customFormat="1" ht="13.5" customHeight="1">
      <c r="A35" s="90" t="s">
        <v>9</v>
      </c>
      <c r="B35" s="388">
        <v>2022</v>
      </c>
      <c r="C35" s="124">
        <f t="shared" ref="C35:L35" si="33">C14</f>
        <v>2023</v>
      </c>
      <c r="D35" s="124">
        <f t="shared" si="33"/>
        <v>2024</v>
      </c>
      <c r="E35" s="124">
        <f t="shared" si="33"/>
        <v>2025</v>
      </c>
      <c r="F35" s="124">
        <f t="shared" si="33"/>
        <v>2026</v>
      </c>
      <c r="G35" s="124">
        <f t="shared" si="33"/>
        <v>2027</v>
      </c>
      <c r="H35" s="124">
        <f t="shared" si="33"/>
        <v>2028</v>
      </c>
      <c r="I35" s="124">
        <f t="shared" si="33"/>
        <v>2029</v>
      </c>
      <c r="J35" s="124">
        <f t="shared" si="33"/>
        <v>2030</v>
      </c>
      <c r="K35" s="124">
        <f t="shared" si="33"/>
        <v>2031</v>
      </c>
      <c r="L35" s="124">
        <f t="shared" si="33"/>
        <v>2032</v>
      </c>
      <c r="M35" s="60"/>
      <c r="N35" s="60"/>
      <c r="X35" s="78"/>
      <c r="Y35" s="78"/>
      <c r="Z35" s="78"/>
      <c r="AA35" s="78"/>
      <c r="AB35" s="78"/>
      <c r="AJ35" s="64"/>
      <c r="AK35" s="64"/>
      <c r="AL35" s="64"/>
      <c r="AM35" s="64"/>
      <c r="AN35" s="64"/>
      <c r="AO35" s="64"/>
      <c r="AP35" s="64"/>
      <c r="AQ35" s="64"/>
      <c r="AR35" s="64"/>
      <c r="AS35" s="64"/>
    </row>
    <row r="36" spans="1:61" s="60" customFormat="1" ht="13.5" customHeight="1">
      <c r="A36" s="51" t="str">
        <f>A26</f>
        <v>НФС с облицовкой кирпичной кладкой</v>
      </c>
      <c r="B36" s="391">
        <f>SUM(B26:M26)</f>
        <v>0</v>
      </c>
      <c r="C36" s="72">
        <f t="shared" ref="C36:C42" si="34">SUM(N26:Y26)</f>
        <v>212.46940000000004</v>
      </c>
      <c r="D36" s="72">
        <f t="shared" ref="D36:D42" si="35">SUM(Z26:AK26)</f>
        <v>23541.609519999998</v>
      </c>
      <c r="E36" s="72">
        <f t="shared" ref="E36:E42" si="36">SUM(AL26:AW26)</f>
        <v>31810.418640000004</v>
      </c>
      <c r="F36" s="72">
        <f t="shared" ref="F36:F42" si="37">SUM(AX26:BI26)</f>
        <v>33400.939572000003</v>
      </c>
      <c r="G36" s="72">
        <f t="shared" ref="G36:G42" si="38">SUM(BJ26:BU26)</f>
        <v>35070.986550599999</v>
      </c>
      <c r="H36" s="72">
        <f t="shared" ref="H36:H42" si="39">SUM(BV26:CG26)</f>
        <v>36824.535878130009</v>
      </c>
      <c r="I36" s="72">
        <f t="shared" ref="I36:I42" si="40">SUM(CH26:CS26)</f>
        <v>38665.762672036501</v>
      </c>
      <c r="J36" s="72">
        <f t="shared" ref="J36:J42" si="41">SUM(CT26:DE26)</f>
        <v>40599.050805638326</v>
      </c>
      <c r="K36" s="72">
        <f t="shared" ref="K36:K42" si="42">SUM(DF26:DQ26)</f>
        <v>42629.003345920246</v>
      </c>
      <c r="L36" s="72">
        <f t="shared" ref="L36:L42" si="43">SUM(DR26:EC26)</f>
        <v>44760.453513216264</v>
      </c>
      <c r="X36" s="78"/>
      <c r="Y36" s="78"/>
      <c r="Z36" s="78"/>
      <c r="AA36" s="78"/>
      <c r="AB36" s="78"/>
      <c r="AJ36" s="88"/>
      <c r="AK36" s="88"/>
      <c r="AL36" s="88"/>
      <c r="AM36" s="88"/>
      <c r="AN36" s="88"/>
      <c r="AO36" s="88"/>
      <c r="AP36" s="88"/>
      <c r="AQ36" s="88"/>
      <c r="AR36" s="88"/>
      <c r="AS36" s="88"/>
    </row>
    <row r="37" spans="1:61" s="60" customFormat="1" ht="13.5" customHeight="1">
      <c r="A37" s="51" t="str">
        <f t="shared" ref="A37:A41" si="44">A27</f>
        <v>НФС с облицовкой СФБ</v>
      </c>
      <c r="B37" s="391">
        <f t="shared" ref="B37:B41" si="45">SUM(B27:M27)</f>
        <v>0</v>
      </c>
      <c r="C37" s="72">
        <f t="shared" si="34"/>
        <v>2039.864</v>
      </c>
      <c r="D37" s="72">
        <f t="shared" si="35"/>
        <v>226016.93120000002</v>
      </c>
      <c r="E37" s="72">
        <f t="shared" si="36"/>
        <v>305403.6384</v>
      </c>
      <c r="F37" s="72">
        <f t="shared" si="37"/>
        <v>320673.82032</v>
      </c>
      <c r="G37" s="72">
        <f t="shared" si="38"/>
        <v>336707.51133600005</v>
      </c>
      <c r="H37" s="72">
        <f t="shared" si="39"/>
        <v>353542.8869028</v>
      </c>
      <c r="I37" s="72">
        <f t="shared" si="40"/>
        <v>371220.03124794003</v>
      </c>
      <c r="J37" s="72">
        <f t="shared" si="41"/>
        <v>389781.03281033708</v>
      </c>
      <c r="K37" s="72">
        <f t="shared" si="42"/>
        <v>409270.08445085387</v>
      </c>
      <c r="L37" s="72">
        <f t="shared" si="43"/>
        <v>429733.58867339662</v>
      </c>
      <c r="X37" s="78"/>
      <c r="Y37" s="78"/>
      <c r="Z37" s="78"/>
      <c r="AA37" s="78"/>
      <c r="AB37" s="78"/>
      <c r="AJ37" s="88"/>
      <c r="AK37" s="88"/>
      <c r="AL37" s="88"/>
      <c r="AM37" s="88"/>
      <c r="AN37" s="88"/>
      <c r="AO37" s="88"/>
      <c r="AP37" s="88"/>
      <c r="AQ37" s="88"/>
      <c r="AR37" s="88"/>
      <c r="AS37" s="88"/>
    </row>
    <row r="38" spans="1:61" s="60" customFormat="1" ht="13.5" customHeight="1">
      <c r="A38" s="51" t="str">
        <f t="shared" si="44"/>
        <v>НФС с облицовкой натуральным камнем</v>
      </c>
      <c r="B38" s="391">
        <f t="shared" si="45"/>
        <v>0</v>
      </c>
      <c r="C38" s="72">
        <f t="shared" si="34"/>
        <v>1444.8300000000002</v>
      </c>
      <c r="D38" s="72">
        <f t="shared" si="35"/>
        <v>160087.16400000002</v>
      </c>
      <c r="E38" s="72">
        <f t="shared" si="36"/>
        <v>216316.54799999998</v>
      </c>
      <c r="F38" s="72">
        <f t="shared" si="37"/>
        <v>227132.37540000002</v>
      </c>
      <c r="G38" s="72">
        <f t="shared" si="38"/>
        <v>238488.99417000008</v>
      </c>
      <c r="H38" s="72">
        <f t="shared" si="39"/>
        <v>250413.44387850008</v>
      </c>
      <c r="I38" s="72">
        <f t="shared" si="40"/>
        <v>262934.11607242504</v>
      </c>
      <c r="J38" s="72">
        <f t="shared" si="41"/>
        <v>276080.82187604631</v>
      </c>
      <c r="K38" s="72">
        <f t="shared" si="42"/>
        <v>289884.86296984868</v>
      </c>
      <c r="L38" s="72">
        <f t="shared" si="43"/>
        <v>304379.10611834103</v>
      </c>
      <c r="X38" s="78"/>
      <c r="Y38" s="78"/>
      <c r="Z38" s="78"/>
      <c r="AA38" s="78"/>
      <c r="AB38" s="78"/>
      <c r="AJ38" s="88"/>
      <c r="AK38" s="88"/>
      <c r="AL38" s="88"/>
      <c r="AM38" s="88"/>
      <c r="AN38" s="88"/>
      <c r="AO38" s="88"/>
      <c r="AP38" s="88"/>
      <c r="AQ38" s="88"/>
      <c r="AR38" s="88"/>
      <c r="AS38" s="88"/>
    </row>
    <row r="39" spans="1:61" s="60" customFormat="1" ht="13.5" customHeight="1">
      <c r="A39" s="51" t="str">
        <f t="shared" si="44"/>
        <v>НФС с облицовкой клинкерной плиткой</v>
      </c>
      <c r="B39" s="391">
        <f t="shared" si="45"/>
        <v>0</v>
      </c>
      <c r="C39" s="72">
        <f t="shared" si="34"/>
        <v>382.41499999999996</v>
      </c>
      <c r="D39" s="72">
        <f t="shared" si="35"/>
        <v>42371.581999999995</v>
      </c>
      <c r="E39" s="72">
        <f t="shared" si="36"/>
        <v>57254.274000000005</v>
      </c>
      <c r="F39" s="72">
        <f t="shared" si="37"/>
        <v>60116.987700000005</v>
      </c>
      <c r="G39" s="72">
        <f t="shared" si="38"/>
        <v>63122.837085000014</v>
      </c>
      <c r="H39" s="72">
        <f t="shared" si="39"/>
        <v>66278.978939250024</v>
      </c>
      <c r="I39" s="72">
        <f t="shared" si="40"/>
        <v>69592.927886212521</v>
      </c>
      <c r="J39" s="72">
        <f t="shared" si="41"/>
        <v>73072.574280523157</v>
      </c>
      <c r="K39" s="72">
        <f t="shared" si="42"/>
        <v>76726.202994549312</v>
      </c>
      <c r="L39" s="72">
        <f t="shared" si="43"/>
        <v>80562.513144276774</v>
      </c>
      <c r="X39" s="78"/>
      <c r="Y39" s="78"/>
      <c r="Z39" s="78"/>
      <c r="AA39" s="78"/>
      <c r="AB39" s="78"/>
      <c r="AJ39" s="88"/>
      <c r="AK39" s="88"/>
      <c r="AL39" s="88"/>
      <c r="AM39" s="88"/>
      <c r="AN39" s="88"/>
      <c r="AO39" s="88"/>
      <c r="AP39" s="88"/>
      <c r="AQ39" s="88"/>
      <c r="AR39" s="88"/>
      <c r="AS39" s="88"/>
    </row>
    <row r="40" spans="1:61" s="60" customFormat="1" ht="13.5" customHeight="1">
      <c r="A40" s="51" t="str">
        <f t="shared" si="44"/>
        <v>НФС с облицовкой керамогранитом</v>
      </c>
      <c r="B40" s="391">
        <f t="shared" si="45"/>
        <v>0</v>
      </c>
      <c r="C40" s="72">
        <f t="shared" si="34"/>
        <v>169.99150000000003</v>
      </c>
      <c r="D40" s="72">
        <f t="shared" si="35"/>
        <v>18835.058200000003</v>
      </c>
      <c r="E40" s="72">
        <f t="shared" si="36"/>
        <v>25450.727400000003</v>
      </c>
      <c r="F40" s="72">
        <f t="shared" si="37"/>
        <v>26723.263770000005</v>
      </c>
      <c r="G40" s="72">
        <f t="shared" si="38"/>
        <v>28059.426958500004</v>
      </c>
      <c r="H40" s="72">
        <f t="shared" si="39"/>
        <v>29462.39830642501</v>
      </c>
      <c r="I40" s="72">
        <f t="shared" si="40"/>
        <v>30935.518221746261</v>
      </c>
      <c r="J40" s="72">
        <f t="shared" si="41"/>
        <v>32482.294132833573</v>
      </c>
      <c r="K40" s="72">
        <f t="shared" si="42"/>
        <v>34106.408839475247</v>
      </c>
      <c r="L40" s="72">
        <f t="shared" si="43"/>
        <v>35811.729281449014</v>
      </c>
      <c r="X40" s="78"/>
      <c r="Y40" s="78"/>
      <c r="Z40" s="78"/>
      <c r="AA40" s="78"/>
      <c r="AB40" s="78"/>
      <c r="AJ40" s="88"/>
      <c r="AK40" s="88"/>
      <c r="AL40" s="88"/>
      <c r="AM40" s="88"/>
      <c r="AN40" s="88"/>
      <c r="AO40" s="88"/>
      <c r="AP40" s="88"/>
      <c r="AQ40" s="88"/>
      <c r="AR40" s="88"/>
      <c r="AS40" s="88"/>
    </row>
    <row r="41" spans="1:61" s="60" customFormat="1" ht="13.5" customHeight="1">
      <c r="A41" s="51" t="str">
        <f t="shared" si="44"/>
        <v>Сдача в аренду цехов</v>
      </c>
      <c r="B41" s="391">
        <f t="shared" si="45"/>
        <v>0</v>
      </c>
      <c r="C41" s="72">
        <f t="shared" si="34"/>
        <v>0</v>
      </c>
      <c r="D41" s="72">
        <f t="shared" si="35"/>
        <v>0</v>
      </c>
      <c r="E41" s="72">
        <f t="shared" si="36"/>
        <v>0</v>
      </c>
      <c r="F41" s="72">
        <f t="shared" si="37"/>
        <v>7200</v>
      </c>
      <c r="G41" s="72">
        <f t="shared" si="38"/>
        <v>15120.000000000002</v>
      </c>
      <c r="H41" s="72">
        <f t="shared" si="39"/>
        <v>15876.000000000002</v>
      </c>
      <c r="I41" s="72">
        <f t="shared" si="40"/>
        <v>16669.8</v>
      </c>
      <c r="J41" s="72">
        <f t="shared" si="41"/>
        <v>17503.290000000005</v>
      </c>
      <c r="K41" s="72">
        <f t="shared" si="42"/>
        <v>18378.454500000003</v>
      </c>
      <c r="L41" s="72">
        <f t="shared" si="43"/>
        <v>19297.377225000011</v>
      </c>
      <c r="X41" s="78"/>
      <c r="Y41" s="78"/>
      <c r="Z41" s="78"/>
      <c r="AA41" s="78"/>
      <c r="AB41" s="78"/>
      <c r="AJ41" s="88"/>
      <c r="AK41" s="88"/>
      <c r="AL41" s="88"/>
      <c r="AM41" s="88"/>
      <c r="AN41" s="88"/>
      <c r="AO41" s="88"/>
      <c r="AP41" s="88"/>
      <c r="AQ41" s="88"/>
      <c r="AR41" s="88"/>
      <c r="AS41" s="88"/>
    </row>
    <row r="42" spans="1:61" s="60" customFormat="1" ht="13.5" customHeight="1">
      <c r="A42" s="125" t="s">
        <v>8</v>
      </c>
      <c r="B42" s="105">
        <f>SUM(B32:M32)</f>
        <v>0</v>
      </c>
      <c r="C42" s="105">
        <f t="shared" si="34"/>
        <v>4249.5699000000004</v>
      </c>
      <c r="D42" s="105">
        <f t="shared" si="35"/>
        <v>470852.34492</v>
      </c>
      <c r="E42" s="105">
        <f t="shared" si="36"/>
        <v>636235.60644</v>
      </c>
      <c r="F42" s="105">
        <f t="shared" si="37"/>
        <v>675247.38676200004</v>
      </c>
      <c r="G42" s="105">
        <f t="shared" si="38"/>
        <v>716569.75610010012</v>
      </c>
      <c r="H42" s="105">
        <f t="shared" si="39"/>
        <v>752398.24390510505</v>
      </c>
      <c r="I42" s="105">
        <f t="shared" si="40"/>
        <v>790018.15610036033</v>
      </c>
      <c r="J42" s="105">
        <f t="shared" si="41"/>
        <v>829519.06390537845</v>
      </c>
      <c r="K42" s="105">
        <f t="shared" si="42"/>
        <v>870995.01710064744</v>
      </c>
      <c r="L42" s="105">
        <f t="shared" si="43"/>
        <v>914544.7679556798</v>
      </c>
      <c r="X42" s="78"/>
      <c r="Y42" s="78"/>
      <c r="Z42" s="78"/>
      <c r="AA42" s="78"/>
      <c r="AB42" s="78"/>
      <c r="AJ42" s="88"/>
      <c r="AK42" s="88"/>
      <c r="AL42" s="88"/>
      <c r="AM42" s="88"/>
      <c r="AN42" s="88"/>
      <c r="AO42" s="88"/>
      <c r="AP42" s="88"/>
      <c r="AQ42" s="88"/>
      <c r="AR42" s="88"/>
      <c r="AS42" s="88"/>
    </row>
    <row r="43" spans="1:61">
      <c r="M43" s="60"/>
      <c r="N43" s="60"/>
      <c r="Z43" s="78"/>
      <c r="AA43" s="78"/>
      <c r="AB43" s="78"/>
    </row>
    <row r="44" spans="1:61">
      <c r="M44" s="60"/>
      <c r="N44" s="60"/>
      <c r="AE44" s="330"/>
      <c r="AF44" s="330"/>
      <c r="AG44" s="330"/>
      <c r="AH44" s="330"/>
    </row>
    <row r="45" spans="1:61">
      <c r="AH45" s="330"/>
    </row>
  </sheetData>
  <mergeCells count="22">
    <mergeCell ref="AX24:BI24"/>
    <mergeCell ref="DF2:DQ2"/>
    <mergeCell ref="DR2:EC2"/>
    <mergeCell ref="CH2:CS2"/>
    <mergeCell ref="DF24:DQ24"/>
    <mergeCell ref="DR24:EC24"/>
    <mergeCell ref="B2:M2"/>
    <mergeCell ref="N2:Y2"/>
    <mergeCell ref="B24:M24"/>
    <mergeCell ref="N24:Y24"/>
    <mergeCell ref="CT24:DE24"/>
    <mergeCell ref="Z2:AK2"/>
    <mergeCell ref="AL2:AW2"/>
    <mergeCell ref="AX2:BI2"/>
    <mergeCell ref="BJ2:BU2"/>
    <mergeCell ref="BV2:CG2"/>
    <mergeCell ref="CT2:DE2"/>
    <mergeCell ref="Z24:AK24"/>
    <mergeCell ref="BV24:CG24"/>
    <mergeCell ref="CH24:CS24"/>
    <mergeCell ref="BJ24:BU24"/>
    <mergeCell ref="AL24:AW24"/>
  </mergeCells>
  <pageMargins left="0.25" right="0.25" top="0.75" bottom="0.75" header="0.3" footer="0.3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EF22"/>
  <sheetViews>
    <sheetView zoomScale="80" zoomScaleNormal="80" workbookViewId="0">
      <pane xSplit="4" ySplit="2" topLeftCell="V3" activePane="bottomRight" state="frozen"/>
      <selection pane="topRight" activeCell="F1" sqref="F1"/>
      <selection pane="bottomLeft" activeCell="A3" sqref="A3"/>
      <selection pane="bottomRight" activeCell="X17" sqref="X17"/>
    </sheetView>
  </sheetViews>
  <sheetFormatPr defaultColWidth="9.140625" defaultRowHeight="12.75"/>
  <cols>
    <col min="1" max="1" width="5.5703125" style="84" customWidth="1"/>
    <col min="2" max="2" width="34.28515625" style="84" customWidth="1"/>
    <col min="3" max="3" width="22" style="97" customWidth="1"/>
    <col min="4" max="4" width="16" style="97" customWidth="1"/>
    <col min="5" max="16" width="7.7109375" style="97" customWidth="1"/>
    <col min="17" max="28" width="7.28515625" style="97" customWidth="1"/>
    <col min="29" max="40" width="10.140625" style="84" customWidth="1"/>
    <col min="41" max="64" width="11.5703125" style="84" customWidth="1"/>
    <col min="65" max="16384" width="9.140625" style="84"/>
  </cols>
  <sheetData>
    <row r="1" spans="1:136" ht="18" customHeight="1">
      <c r="B1" s="91" t="s">
        <v>163</v>
      </c>
      <c r="C1" s="317"/>
      <c r="E1" s="442">
        <f>ДДС!C2</f>
        <v>2022</v>
      </c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4"/>
      <c r="Q1" s="442">
        <f>ДДС!O2</f>
        <v>2023</v>
      </c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4"/>
      <c r="AC1" s="442">
        <f>ДДС!AA2</f>
        <v>2024</v>
      </c>
      <c r="AD1" s="443"/>
      <c r="AE1" s="443"/>
      <c r="AF1" s="443"/>
      <c r="AG1" s="443"/>
      <c r="AH1" s="443"/>
      <c r="AI1" s="443"/>
      <c r="AJ1" s="443"/>
      <c r="AK1" s="443"/>
      <c r="AL1" s="443"/>
      <c r="AM1" s="443"/>
      <c r="AN1" s="444"/>
      <c r="AO1" s="442">
        <f>ДДС!AM2</f>
        <v>2025</v>
      </c>
      <c r="AP1" s="443"/>
      <c r="AQ1" s="443"/>
      <c r="AR1" s="443"/>
      <c r="AS1" s="443"/>
      <c r="AT1" s="443"/>
      <c r="AU1" s="443"/>
      <c r="AV1" s="443"/>
      <c r="AW1" s="443"/>
      <c r="AX1" s="443"/>
      <c r="AY1" s="443"/>
      <c r="AZ1" s="444"/>
      <c r="BA1" s="442">
        <f>ДДС!AY2</f>
        <v>2026</v>
      </c>
      <c r="BB1" s="443"/>
      <c r="BC1" s="443"/>
      <c r="BD1" s="443"/>
      <c r="BE1" s="443"/>
      <c r="BF1" s="443"/>
      <c r="BG1" s="443"/>
      <c r="BH1" s="443"/>
      <c r="BI1" s="443"/>
      <c r="BJ1" s="443"/>
      <c r="BK1" s="443"/>
      <c r="BL1" s="444"/>
      <c r="BM1" s="442">
        <f>ДДС!BK2</f>
        <v>2027</v>
      </c>
      <c r="BN1" s="443"/>
      <c r="BO1" s="443"/>
      <c r="BP1" s="443"/>
      <c r="BQ1" s="443"/>
      <c r="BR1" s="443"/>
      <c r="BS1" s="443"/>
      <c r="BT1" s="443"/>
      <c r="BU1" s="443"/>
      <c r="BV1" s="443"/>
      <c r="BW1" s="443"/>
      <c r="BX1" s="444"/>
      <c r="BY1" s="442">
        <f>ДДС!BW2</f>
        <v>2028</v>
      </c>
      <c r="BZ1" s="443"/>
      <c r="CA1" s="443"/>
      <c r="CB1" s="443"/>
      <c r="CC1" s="443"/>
      <c r="CD1" s="443"/>
      <c r="CE1" s="443"/>
      <c r="CF1" s="443"/>
      <c r="CG1" s="443"/>
      <c r="CH1" s="443"/>
      <c r="CI1" s="443"/>
      <c r="CJ1" s="444"/>
      <c r="CK1" s="442">
        <f>ДДС!CI2</f>
        <v>2029</v>
      </c>
      <c r="CL1" s="443"/>
      <c r="CM1" s="443"/>
      <c r="CN1" s="443"/>
      <c r="CO1" s="443"/>
      <c r="CP1" s="443"/>
      <c r="CQ1" s="443"/>
      <c r="CR1" s="443"/>
      <c r="CS1" s="443"/>
      <c r="CT1" s="443"/>
      <c r="CU1" s="443"/>
      <c r="CV1" s="444"/>
      <c r="CW1" s="442">
        <f>ДДС!CU2</f>
        <v>2030</v>
      </c>
      <c r="CX1" s="443"/>
      <c r="CY1" s="443"/>
      <c r="CZ1" s="443"/>
      <c r="DA1" s="443"/>
      <c r="DB1" s="443"/>
      <c r="DC1" s="443"/>
      <c r="DD1" s="443"/>
      <c r="DE1" s="443"/>
      <c r="DF1" s="443"/>
      <c r="DG1" s="443"/>
      <c r="DH1" s="444"/>
      <c r="DI1" s="442">
        <f>ДДС!DG2</f>
        <v>2031</v>
      </c>
      <c r="DJ1" s="443"/>
      <c r="DK1" s="443"/>
      <c r="DL1" s="443"/>
      <c r="DM1" s="443"/>
      <c r="DN1" s="443"/>
      <c r="DO1" s="443"/>
      <c r="DP1" s="443"/>
      <c r="DQ1" s="443"/>
      <c r="DR1" s="443"/>
      <c r="DS1" s="443"/>
      <c r="DT1" s="444"/>
      <c r="DU1" s="442">
        <f>ДДС!DS2</f>
        <v>2032</v>
      </c>
      <c r="DV1" s="443"/>
      <c r="DW1" s="443"/>
      <c r="DX1" s="443"/>
      <c r="DY1" s="443"/>
      <c r="DZ1" s="443"/>
      <c r="EA1" s="443"/>
      <c r="EB1" s="443"/>
      <c r="EC1" s="443"/>
      <c r="ED1" s="443"/>
      <c r="EE1" s="443"/>
      <c r="EF1" s="444"/>
    </row>
    <row r="2" spans="1:136" ht="28.15" customHeight="1">
      <c r="A2" s="94" t="s">
        <v>18</v>
      </c>
      <c r="B2" s="94" t="s">
        <v>164</v>
      </c>
      <c r="C2" s="94" t="s">
        <v>127</v>
      </c>
      <c r="D2" s="95" t="s">
        <v>166</v>
      </c>
      <c r="E2" s="87">
        <f>ДДС!C3</f>
        <v>44592</v>
      </c>
      <c r="F2" s="87">
        <f>ДДС!D3</f>
        <v>44620</v>
      </c>
      <c r="G2" s="87">
        <f>ДДС!E3</f>
        <v>44651</v>
      </c>
      <c r="H2" s="87">
        <f>ДДС!F3</f>
        <v>44681</v>
      </c>
      <c r="I2" s="87">
        <f>ДДС!G3</f>
        <v>44712</v>
      </c>
      <c r="J2" s="87">
        <f>ДДС!H3</f>
        <v>44742</v>
      </c>
      <c r="K2" s="87">
        <f>ДДС!I3</f>
        <v>44773</v>
      </c>
      <c r="L2" s="87">
        <f>ДДС!J3</f>
        <v>44804</v>
      </c>
      <c r="M2" s="87">
        <f>ДДС!K3</f>
        <v>44834</v>
      </c>
      <c r="N2" s="87">
        <f>ДДС!L3</f>
        <v>44865</v>
      </c>
      <c r="O2" s="87">
        <f>ДДС!M3</f>
        <v>44895</v>
      </c>
      <c r="P2" s="87">
        <f>ДДС!N3</f>
        <v>44926</v>
      </c>
      <c r="Q2" s="87">
        <f>ДДС!O3</f>
        <v>44957</v>
      </c>
      <c r="R2" s="87">
        <f>ДДС!P3</f>
        <v>44985</v>
      </c>
      <c r="S2" s="87">
        <f>ДДС!Q3</f>
        <v>45016</v>
      </c>
      <c r="T2" s="87">
        <f>ДДС!R3</f>
        <v>45046</v>
      </c>
      <c r="U2" s="87">
        <f>ДДС!S3</f>
        <v>45077</v>
      </c>
      <c r="V2" s="87">
        <f>ДДС!T3</f>
        <v>45107</v>
      </c>
      <c r="W2" s="87">
        <f>ДДС!U3</f>
        <v>45138</v>
      </c>
      <c r="X2" s="87">
        <f>ДДС!V3</f>
        <v>45169</v>
      </c>
      <c r="Y2" s="87">
        <f>ДДС!W3</f>
        <v>45199</v>
      </c>
      <c r="Z2" s="87">
        <f>ДДС!X3</f>
        <v>45230</v>
      </c>
      <c r="AA2" s="87">
        <f>ДДС!Y3</f>
        <v>45260</v>
      </c>
      <c r="AB2" s="87">
        <f>ДДС!Z3</f>
        <v>45291</v>
      </c>
      <c r="AC2" s="87">
        <f>ДДС!AA3</f>
        <v>45322</v>
      </c>
      <c r="AD2" s="87">
        <f>ДДС!AB3</f>
        <v>45351</v>
      </c>
      <c r="AE2" s="87">
        <f>ДДС!AC3</f>
        <v>45382</v>
      </c>
      <c r="AF2" s="87">
        <f>ДДС!AD3</f>
        <v>45412</v>
      </c>
      <c r="AG2" s="87">
        <f>ДДС!AE3</f>
        <v>45443</v>
      </c>
      <c r="AH2" s="87">
        <f>ДДС!AF3</f>
        <v>45473</v>
      </c>
      <c r="AI2" s="87">
        <f>ДДС!AG3</f>
        <v>45504</v>
      </c>
      <c r="AJ2" s="87">
        <f>ДДС!AH3</f>
        <v>45535</v>
      </c>
      <c r="AK2" s="87">
        <f>ДДС!AI3</f>
        <v>45565</v>
      </c>
      <c r="AL2" s="87">
        <f>ДДС!AJ3</f>
        <v>45596</v>
      </c>
      <c r="AM2" s="87">
        <f>ДДС!AK3</f>
        <v>45626</v>
      </c>
      <c r="AN2" s="87">
        <f>ДДС!AL3</f>
        <v>45657</v>
      </c>
      <c r="AO2" s="87">
        <f>ДДС!AM3</f>
        <v>45688</v>
      </c>
      <c r="AP2" s="87">
        <f>ДДС!AN3</f>
        <v>45716</v>
      </c>
      <c r="AQ2" s="87">
        <f>ДДС!AO3</f>
        <v>45747</v>
      </c>
      <c r="AR2" s="87">
        <f>ДДС!AP3</f>
        <v>45777</v>
      </c>
      <c r="AS2" s="87">
        <f>ДДС!AQ3</f>
        <v>45808</v>
      </c>
      <c r="AT2" s="87">
        <f>ДДС!AR3</f>
        <v>45838</v>
      </c>
      <c r="AU2" s="87">
        <f>ДДС!AS3</f>
        <v>45869</v>
      </c>
      <c r="AV2" s="87">
        <f>ДДС!AT3</f>
        <v>45900</v>
      </c>
      <c r="AW2" s="87">
        <f>ДДС!AU3</f>
        <v>45930</v>
      </c>
      <c r="AX2" s="87">
        <f>ДДС!AV3</f>
        <v>45961</v>
      </c>
      <c r="AY2" s="87">
        <f>ДДС!AW3</f>
        <v>45991</v>
      </c>
      <c r="AZ2" s="87">
        <f>ДДС!AX3</f>
        <v>46022</v>
      </c>
      <c r="BA2" s="87">
        <f>ДДС!AY3</f>
        <v>46053</v>
      </c>
      <c r="BB2" s="87">
        <f>ДДС!AZ3</f>
        <v>46081</v>
      </c>
      <c r="BC2" s="87">
        <f>ДДС!BA3</f>
        <v>46112</v>
      </c>
      <c r="BD2" s="87">
        <f>ДДС!BB3</f>
        <v>46142</v>
      </c>
      <c r="BE2" s="87">
        <f>ДДС!BC3</f>
        <v>46173</v>
      </c>
      <c r="BF2" s="87">
        <f>ДДС!BD3</f>
        <v>46203</v>
      </c>
      <c r="BG2" s="87">
        <f>ДДС!BE3</f>
        <v>46234</v>
      </c>
      <c r="BH2" s="87">
        <f>ДДС!BF3</f>
        <v>46265</v>
      </c>
      <c r="BI2" s="87">
        <f>ДДС!BG3</f>
        <v>46295</v>
      </c>
      <c r="BJ2" s="87">
        <f>ДДС!BH3</f>
        <v>46326</v>
      </c>
      <c r="BK2" s="87">
        <f>ДДС!BI3</f>
        <v>46356</v>
      </c>
      <c r="BL2" s="87">
        <f>ДДС!BJ3</f>
        <v>46387</v>
      </c>
      <c r="BM2" s="87">
        <f>ДДС!BK3</f>
        <v>46418</v>
      </c>
      <c r="BN2" s="87">
        <f>ДДС!BL3</f>
        <v>46446</v>
      </c>
      <c r="BO2" s="87">
        <f>ДДС!BM3</f>
        <v>46477</v>
      </c>
      <c r="BP2" s="87">
        <f>ДДС!BN3</f>
        <v>46507</v>
      </c>
      <c r="BQ2" s="87">
        <f>ДДС!BO3</f>
        <v>46538</v>
      </c>
      <c r="BR2" s="87">
        <f>ДДС!BP3</f>
        <v>46568</v>
      </c>
      <c r="BS2" s="87">
        <f>ДДС!BQ3</f>
        <v>46599</v>
      </c>
      <c r="BT2" s="87">
        <f>ДДС!BR3</f>
        <v>46630</v>
      </c>
      <c r="BU2" s="87">
        <f>ДДС!BS3</f>
        <v>46660</v>
      </c>
      <c r="BV2" s="87">
        <f>ДДС!BT3</f>
        <v>46691</v>
      </c>
      <c r="BW2" s="87">
        <f>ДДС!BU3</f>
        <v>46721</v>
      </c>
      <c r="BX2" s="87">
        <f>ДДС!BV3</f>
        <v>46752</v>
      </c>
      <c r="BY2" s="87">
        <f>ДДС!BW3</f>
        <v>46783</v>
      </c>
      <c r="BZ2" s="87">
        <f>ДДС!BX3</f>
        <v>46812</v>
      </c>
      <c r="CA2" s="87">
        <f>ДДС!BY3</f>
        <v>46843</v>
      </c>
      <c r="CB2" s="87">
        <f>ДДС!BZ3</f>
        <v>46873</v>
      </c>
      <c r="CC2" s="87">
        <f>ДДС!CA3</f>
        <v>46904</v>
      </c>
      <c r="CD2" s="87">
        <f>ДДС!CB3</f>
        <v>46934</v>
      </c>
      <c r="CE2" s="87">
        <f>ДДС!CC3</f>
        <v>46965</v>
      </c>
      <c r="CF2" s="87">
        <f>ДДС!CD3</f>
        <v>46996</v>
      </c>
      <c r="CG2" s="87">
        <f>ДДС!CE3</f>
        <v>47026</v>
      </c>
      <c r="CH2" s="87">
        <f>ДДС!CF3</f>
        <v>47057</v>
      </c>
      <c r="CI2" s="87">
        <f>ДДС!CG3</f>
        <v>47087</v>
      </c>
      <c r="CJ2" s="87">
        <f>ДДС!CH3</f>
        <v>47118</v>
      </c>
      <c r="CK2" s="87">
        <f>ДДС!CI3</f>
        <v>47149</v>
      </c>
      <c r="CL2" s="87">
        <f>ДДС!CJ3</f>
        <v>47177</v>
      </c>
      <c r="CM2" s="87">
        <f>ДДС!CK3</f>
        <v>47208</v>
      </c>
      <c r="CN2" s="87">
        <f>ДДС!CL3</f>
        <v>47238</v>
      </c>
      <c r="CO2" s="87">
        <f>ДДС!CM3</f>
        <v>47269</v>
      </c>
      <c r="CP2" s="87">
        <f>ДДС!CN3</f>
        <v>47299</v>
      </c>
      <c r="CQ2" s="87">
        <f>ДДС!CO3</f>
        <v>47330</v>
      </c>
      <c r="CR2" s="87">
        <f>ДДС!CP3</f>
        <v>47361</v>
      </c>
      <c r="CS2" s="87">
        <f>ДДС!CQ3</f>
        <v>47391</v>
      </c>
      <c r="CT2" s="87">
        <f>ДДС!CR3</f>
        <v>47422</v>
      </c>
      <c r="CU2" s="87">
        <f>ДДС!CS3</f>
        <v>47452</v>
      </c>
      <c r="CV2" s="87">
        <f>ДДС!CT3</f>
        <v>47483</v>
      </c>
      <c r="CW2" s="87">
        <f>ДДС!CU3</f>
        <v>47514</v>
      </c>
      <c r="CX2" s="87">
        <f>ДДС!CV3</f>
        <v>47542</v>
      </c>
      <c r="CY2" s="87">
        <f>ДДС!CW3</f>
        <v>47573</v>
      </c>
      <c r="CZ2" s="87">
        <f>ДДС!CX3</f>
        <v>47603</v>
      </c>
      <c r="DA2" s="87">
        <f>ДДС!CY3</f>
        <v>47634</v>
      </c>
      <c r="DB2" s="87">
        <f>ДДС!CZ3</f>
        <v>47664</v>
      </c>
      <c r="DC2" s="87">
        <f>ДДС!DA3</f>
        <v>47695</v>
      </c>
      <c r="DD2" s="87">
        <f>ДДС!DB3</f>
        <v>47726</v>
      </c>
      <c r="DE2" s="87">
        <f>ДДС!DC3</f>
        <v>47756</v>
      </c>
      <c r="DF2" s="87">
        <f>ДДС!DD3</f>
        <v>47787</v>
      </c>
      <c r="DG2" s="87">
        <f>ДДС!DE3</f>
        <v>47817</v>
      </c>
      <c r="DH2" s="87">
        <f>ДДС!DF3</f>
        <v>47848</v>
      </c>
      <c r="DI2" s="87">
        <f>ДДС!DG3</f>
        <v>47879</v>
      </c>
      <c r="DJ2" s="87">
        <f>ДДС!DH3</f>
        <v>47907</v>
      </c>
      <c r="DK2" s="87">
        <f>ДДС!DI3</f>
        <v>47938</v>
      </c>
      <c r="DL2" s="87">
        <f>ДДС!DJ3</f>
        <v>47968</v>
      </c>
      <c r="DM2" s="87">
        <f>ДДС!DK3</f>
        <v>47999</v>
      </c>
      <c r="DN2" s="87">
        <f>ДДС!DL3</f>
        <v>48029</v>
      </c>
      <c r="DO2" s="87">
        <f>ДДС!DM3</f>
        <v>48060</v>
      </c>
      <c r="DP2" s="87">
        <f>ДДС!DN3</f>
        <v>48091</v>
      </c>
      <c r="DQ2" s="87">
        <f>ДДС!DO3</f>
        <v>48121</v>
      </c>
      <c r="DR2" s="87">
        <f>ДДС!DP3</f>
        <v>48152</v>
      </c>
      <c r="DS2" s="87">
        <f>ДДС!DQ3</f>
        <v>48182</v>
      </c>
      <c r="DT2" s="87">
        <f>ДДС!DR3</f>
        <v>48213</v>
      </c>
      <c r="DU2" s="87">
        <f>ДДС!DS3</f>
        <v>48244</v>
      </c>
      <c r="DV2" s="87">
        <f>ДДС!DT3</f>
        <v>48273</v>
      </c>
      <c r="DW2" s="87">
        <f>ДДС!DU3</f>
        <v>48304</v>
      </c>
      <c r="DX2" s="87">
        <f>ДДС!DV3</f>
        <v>48334</v>
      </c>
      <c r="DY2" s="87">
        <f>ДДС!DW3</f>
        <v>48365</v>
      </c>
      <c r="DZ2" s="87">
        <f>ДДС!DX3</f>
        <v>48395</v>
      </c>
      <c r="EA2" s="87">
        <f>ДДС!DY3</f>
        <v>48426</v>
      </c>
      <c r="EB2" s="87">
        <f>ДДС!DZ3</f>
        <v>48457</v>
      </c>
      <c r="EC2" s="87">
        <f>ДДС!EA3</f>
        <v>48487</v>
      </c>
      <c r="ED2" s="87">
        <f>ДДС!EB3</f>
        <v>48518</v>
      </c>
      <c r="EE2" s="87">
        <f>ДДС!EC3</f>
        <v>48548</v>
      </c>
      <c r="EF2" s="87">
        <f>ДДС!ED3</f>
        <v>48579</v>
      </c>
    </row>
    <row r="3" spans="1:136" s="315" customFormat="1" ht="25.5">
      <c r="A3" s="221" t="s">
        <v>28</v>
      </c>
      <c r="B3" s="389" t="s">
        <v>395</v>
      </c>
      <c r="C3" s="358" t="s">
        <v>134</v>
      </c>
      <c r="D3" s="314">
        <f>AVERAGE(AC3:EF3)</f>
        <v>1968.6142696026791</v>
      </c>
      <c r="E3" s="72">
        <v>0</v>
      </c>
      <c r="F3" s="72">
        <v>0</v>
      </c>
      <c r="G3" s="72">
        <v>0</v>
      </c>
      <c r="H3" s="72">
        <v>0</v>
      </c>
      <c r="I3" s="72">
        <v>0</v>
      </c>
      <c r="J3" s="72">
        <v>0</v>
      </c>
      <c r="K3" s="72">
        <v>0</v>
      </c>
      <c r="L3" s="72">
        <v>0</v>
      </c>
      <c r="M3" s="72">
        <v>0</v>
      </c>
      <c r="N3" s="72">
        <v>0</v>
      </c>
      <c r="O3" s="72">
        <v>0</v>
      </c>
      <c r="P3" s="72">
        <v>0</v>
      </c>
      <c r="Q3" s="72">
        <v>0</v>
      </c>
      <c r="R3" s="72">
        <v>0</v>
      </c>
      <c r="S3" s="72">
        <v>0</v>
      </c>
      <c r="T3" s="72">
        <v>0</v>
      </c>
      <c r="U3" s="72">
        <v>0</v>
      </c>
      <c r="V3" s="72">
        <v>0</v>
      </c>
      <c r="W3" s="72">
        <v>0</v>
      </c>
      <c r="X3" s="72">
        <v>0</v>
      </c>
      <c r="Y3" s="72">
        <v>0</v>
      </c>
      <c r="Z3" s="72">
        <v>0</v>
      </c>
      <c r="AA3" s="72">
        <v>0</v>
      </c>
      <c r="AB3" s="72">
        <f>'Прогноз цен'!B13*'Продажи и Выручка'!Y5</f>
        <v>150.06580000000002</v>
      </c>
      <c r="AC3" s="72">
        <f>'Прогноз цен'!$C$13*'Продажи и Выручка'!Z5</f>
        <v>98.866880000000009</v>
      </c>
      <c r="AD3" s="72">
        <f>'Прогноз цен'!$C$13*'Продажи и Выручка'!AA5</f>
        <v>254.22912000000002</v>
      </c>
      <c r="AE3" s="72">
        <f>'Прогноз цен'!$C$13*'Продажи и Выручка'!AB5</f>
        <v>635.57279999999992</v>
      </c>
      <c r="AF3" s="72">
        <f>'Прогноз цен'!$C$13*'Продажи и Выручка'!AC5</f>
        <v>1112.2523999999999</v>
      </c>
      <c r="AG3" s="72">
        <f>'Прогноз цен'!$C$13*'Продажи и Выручка'!AD5</f>
        <v>1129.9072000000001</v>
      </c>
      <c r="AH3" s="72">
        <f>'Прогноз цен'!$C$13*'Продажи и Выручка'!AE5</f>
        <v>1355.8886400000001</v>
      </c>
      <c r="AI3" s="72">
        <f>'Прогноз цен'!$C$13*'Продажи и Выручка'!AF5</f>
        <v>1581.8700800000001</v>
      </c>
      <c r="AJ3" s="72">
        <f>'Прогноз цен'!$C$13*'Продажи и Выручка'!AG5</f>
        <v>1949.0899199999999</v>
      </c>
      <c r="AK3" s="72">
        <f>'Прогноз цен'!$C$13*'Продажи и Выручка'!AH5</f>
        <v>2372.80512</v>
      </c>
      <c r="AL3" s="72">
        <f>'Прогноз цен'!$C$13*'Продажи и Выручка'!AI5</f>
        <v>2711.7772800000002</v>
      </c>
      <c r="AM3" s="72">
        <f>'Прогноз цен'!$C$13*'Продажи и Выручка'!AJ5</f>
        <v>2824.768</v>
      </c>
      <c r="AN3" s="72">
        <f>'Прогноз цен'!$C$13*'Продажи и Выручка'!AK5</f>
        <v>600.2632000000001</v>
      </c>
      <c r="AO3" s="72">
        <f>'Прогноз цен'!$D$13*'Продажи и Выручка'!AL5</f>
        <v>290.95110400000004</v>
      </c>
      <c r="AP3" s="72">
        <f>'Прогноз цен'!$D$13*'Продажи и Выручка'!AM5</f>
        <v>581.90220800000009</v>
      </c>
      <c r="AQ3" s="72">
        <f>'Прогноз цен'!$D$13*'Продажи и Выручка'!AN5</f>
        <v>1091.06664</v>
      </c>
      <c r="AR3" s="72">
        <f>'Прогноз цен'!$D$13*'Продажи и Выручка'!AO5</f>
        <v>1527.4932959999999</v>
      </c>
      <c r="AS3" s="72">
        <f>'Прогноз цен'!$D$13*'Продажи и Выручка'!AP5</f>
        <v>1454.7555199999999</v>
      </c>
      <c r="AT3" s="72">
        <f>'Прогноз цен'!$D$13*'Продажи и Выручка'!AQ5</f>
        <v>1745.7066240000001</v>
      </c>
      <c r="AU3" s="72">
        <f>'Прогноз цен'!$D$13*'Продажи и Выручка'!AR5</f>
        <v>2036.6577280000001</v>
      </c>
      <c r="AV3" s="72">
        <f>'Прогноз цен'!$D$13*'Продажи и Выручка'!AS5</f>
        <v>2509.4532719999997</v>
      </c>
      <c r="AW3" s="72">
        <f>'Прогноз цен'!$D$13*'Продажи и Выручка'!AT5</f>
        <v>3054.9865919999997</v>
      </c>
      <c r="AX3" s="72">
        <f>'Прогноз цен'!$D$13*'Продажи и Выручка'!AU5</f>
        <v>3491.4132480000003</v>
      </c>
      <c r="AY3" s="72">
        <f>'Прогноз цен'!$D$13*'Продажи и Выручка'!AV5</f>
        <v>3636.8888000000002</v>
      </c>
      <c r="AZ3" s="72">
        <f>'Прогноз цен'!$D$13*'Продажи и Выручка'!AW5</f>
        <v>618.27109600000006</v>
      </c>
      <c r="BA3" s="72">
        <f>'Прогноз цен'!$E$13*'Продажи и Выручка'!AX5</f>
        <v>299.67963712000005</v>
      </c>
      <c r="BB3" s="72">
        <f>'Прогноз цен'!$E$13*'Продажи и Выручка'!AY5</f>
        <v>599.3592742400001</v>
      </c>
      <c r="BC3" s="72">
        <f>'Прогноз цен'!$E$13*'Продажи и Выручка'!AZ5</f>
        <v>1123.7986392</v>
      </c>
      <c r="BD3" s="72">
        <f>'Прогноз цен'!$E$13*'Продажи и Выручка'!BA5</f>
        <v>1573.31809488</v>
      </c>
      <c r="BE3" s="72">
        <f>'Прогноз цен'!$E$13*'Продажи и Выручка'!BB5</f>
        <v>1498.3981856</v>
      </c>
      <c r="BF3" s="72">
        <f>'Прогноз цен'!$E$13*'Продажи и Выручка'!BC5</f>
        <v>1798.0778227200001</v>
      </c>
      <c r="BG3" s="72">
        <f>'Прогноз цен'!$E$13*'Продажи и Выручка'!BD5</f>
        <v>2097.7574598400001</v>
      </c>
      <c r="BH3" s="72">
        <f>'Прогноз цен'!$E$13*'Продажи и Выручка'!BE5</f>
        <v>2584.7368701599999</v>
      </c>
      <c r="BI3" s="72">
        <f>'Прогноз цен'!$E$13*'Продажи и Выручка'!BF5</f>
        <v>3146.63618976</v>
      </c>
      <c r="BJ3" s="72">
        <f>'Прогноз цен'!$E$13*'Продажи и Выручка'!BG5</f>
        <v>3596.1556454400002</v>
      </c>
      <c r="BK3" s="72">
        <f>'Прогноз цен'!$E$13*'Продажи и Выручка'!BH5</f>
        <v>3745.9954640000001</v>
      </c>
      <c r="BL3" s="72">
        <f>'Прогноз цен'!$E$13*'Продажи и Выручка'!BI5</f>
        <v>636.81922888000008</v>
      </c>
      <c r="BM3" s="72">
        <f>'Прогноз цен'!$F$13*'Продажи и Выручка'!BJ5</f>
        <v>308.67002623360008</v>
      </c>
      <c r="BN3" s="72">
        <f>'Прогноз цен'!$F$13*'Продажи и Выручка'!BK5</f>
        <v>617.34005246720017</v>
      </c>
      <c r="BO3" s="72">
        <f>'Прогноз цен'!$F$13*'Продажи и Выручка'!BL5</f>
        <v>1157.5125983760001</v>
      </c>
      <c r="BP3" s="72">
        <f>'Прогноз цен'!$F$13*'Продажи и Выручка'!BM5</f>
        <v>1620.5176377264002</v>
      </c>
      <c r="BQ3" s="72">
        <f>'Прогноз цен'!$F$13*'Продажи и Выручка'!BN5</f>
        <v>1543.3501311680002</v>
      </c>
      <c r="BR3" s="72">
        <f>'Прогноз цен'!$F$13*'Продажи и Выручка'!BO5</f>
        <v>1852.0201574016003</v>
      </c>
      <c r="BS3" s="72">
        <f>'Прогноз цен'!$F$13*'Продажи и Выручка'!BP5</f>
        <v>2160.6901836352004</v>
      </c>
      <c r="BT3" s="72">
        <f>'Прогноз цен'!$F$13*'Продажи и Выручка'!BQ5</f>
        <v>2662.2789762648003</v>
      </c>
      <c r="BU3" s="72">
        <f>'Прогноз цен'!$F$13*'Продажи и Выручка'!BR5</f>
        <v>3241.0352754528003</v>
      </c>
      <c r="BV3" s="72">
        <f>'Прогноз цен'!$F$13*'Продажи и Выручка'!BS5</f>
        <v>3704.0403148032005</v>
      </c>
      <c r="BW3" s="72">
        <f>'Прогноз цен'!$F$13*'Продажи и Выручка'!BT5</f>
        <v>3858.3753279200005</v>
      </c>
      <c r="BX3" s="72">
        <f>'Прогноз цен'!$F$13*'Продажи и Выручка'!BU5</f>
        <v>655.92380574640015</v>
      </c>
      <c r="BY3" s="72">
        <f>'Прогноз цен'!$G$13*'Продажи и Выручка'!BV5</f>
        <v>317.93012702060804</v>
      </c>
      <c r="BZ3" s="72">
        <f>'Прогноз цен'!$G$13*'Продажи и Выручка'!BW5</f>
        <v>635.86025404121608</v>
      </c>
      <c r="CA3" s="72">
        <f>'Прогноз цен'!$G$13*'Продажи и Выручка'!BX5</f>
        <v>1192.2379763272802</v>
      </c>
      <c r="CB3" s="72">
        <f>'Прогноз цен'!$G$13*'Продажи и Выручка'!BY5</f>
        <v>1669.1331668581922</v>
      </c>
      <c r="CC3" s="72">
        <f>'Прогноз цен'!$G$13*'Продажи и Выручка'!BZ5</f>
        <v>1589.6506351030403</v>
      </c>
      <c r="CD3" s="72">
        <f>'Прогноз цен'!$G$13*'Продажи и Выручка'!CA5</f>
        <v>1907.5807621236484</v>
      </c>
      <c r="CE3" s="72">
        <f>'Прогноз цен'!$G$13*'Продажи и Выручка'!CB5</f>
        <v>2225.5108891442565</v>
      </c>
      <c r="CF3" s="72">
        <f>'Прогноз цен'!$G$13*'Продажи и Выручка'!CC5</f>
        <v>2742.1473455527444</v>
      </c>
      <c r="CG3" s="72">
        <f>'Прогноз цен'!$G$13*'Продажи и Выручка'!CD5</f>
        <v>3338.2663337163845</v>
      </c>
      <c r="CH3" s="72">
        <f>'Прогноз цен'!$G$13*'Продажи и Выручка'!CE5</f>
        <v>3815.1615242472967</v>
      </c>
      <c r="CI3" s="72">
        <f>'Прогноз цен'!$G$13*'Продажи и Выручка'!CF5</f>
        <v>3974.1265877576006</v>
      </c>
      <c r="CJ3" s="72">
        <f>'Прогноз цен'!$G$13*'Продажи и Выручка'!CG5</f>
        <v>675.60151991879218</v>
      </c>
      <c r="CK3" s="72">
        <f>'Прогноз цен'!$H$13*'Продажи и Выручка'!CH5</f>
        <v>327.46803083122632</v>
      </c>
      <c r="CL3" s="72">
        <f>'Прогноз цен'!$H$13*'Продажи и Выручка'!CI5</f>
        <v>654.93606166245263</v>
      </c>
      <c r="CM3" s="72">
        <f>'Прогноз цен'!$H$13*'Продажи и Выручка'!CJ5</f>
        <v>1228.0051156170985</v>
      </c>
      <c r="CN3" s="72">
        <f>'Прогноз цен'!$H$13*'Продажи и Выручка'!CK5</f>
        <v>1719.2071618639379</v>
      </c>
      <c r="CO3" s="72">
        <f>'Прогноз цен'!$H$13*'Продажи и Выручка'!CL5</f>
        <v>1637.3401541561313</v>
      </c>
      <c r="CP3" s="72">
        <f>'Прогноз цен'!$H$13*'Продажи и Выручка'!CM5</f>
        <v>1964.8081849873577</v>
      </c>
      <c r="CQ3" s="72">
        <f>'Прогноз цен'!$H$13*'Продажи и Выручка'!CN5</f>
        <v>2292.2762158185842</v>
      </c>
      <c r="CR3" s="72">
        <f>'Прогноз цен'!$H$13*'Продажи и Выручка'!CO5</f>
        <v>2824.4117659193266</v>
      </c>
      <c r="CS3" s="72">
        <f>'Прогноз цен'!$H$13*'Продажи и Выручка'!CP5</f>
        <v>3438.4143237278759</v>
      </c>
      <c r="CT3" s="72">
        <f>'Прогноз цен'!$H$13*'Продажи и Выручка'!CQ5</f>
        <v>3929.6163699747153</v>
      </c>
      <c r="CU3" s="72">
        <f>'Прогноз цен'!$H$13*'Продажи и Выручка'!CR5</f>
        <v>4093.3503853903285</v>
      </c>
      <c r="CV3" s="72">
        <f>'Прогноз цен'!$H$13*'Продажи и Выручка'!CS5</f>
        <v>695.86956551635592</v>
      </c>
      <c r="CW3" s="72">
        <f>'Прогноз цен'!$I$13*'Продажи и Выручка'!CT5</f>
        <v>337.29207175616312</v>
      </c>
      <c r="CX3" s="72">
        <f>'Прогноз цен'!$I$13*'Продажи и Выручка'!CU5</f>
        <v>674.58414351232625</v>
      </c>
      <c r="CY3" s="72">
        <f>'Прогноз цен'!$I$13*'Продажи и Выручка'!CV5</f>
        <v>1264.8452690856116</v>
      </c>
      <c r="CZ3" s="72">
        <f>'Прогноз цен'!$I$13*'Продажи и Выручка'!CW5</f>
        <v>1770.7833767198561</v>
      </c>
      <c r="DA3" s="72">
        <f>'Прогноз цен'!$I$13*'Продажи и Выручка'!CX5</f>
        <v>1686.4603587808153</v>
      </c>
      <c r="DB3" s="72">
        <f>'Прогноз цен'!$I$13*'Продажи и Выручка'!CY5</f>
        <v>2023.7524305369786</v>
      </c>
      <c r="DC3" s="72">
        <f>'Прогноз цен'!$I$13*'Продажи и Выручка'!CZ5</f>
        <v>2361.0445022931417</v>
      </c>
      <c r="DD3" s="72">
        <f>'Прогноз цен'!$I$13*'Продажи и Выручка'!DA5</f>
        <v>2909.1441188969065</v>
      </c>
      <c r="DE3" s="72">
        <f>'Прогноз цен'!$I$13*'Продажи и Выручка'!DB5</f>
        <v>3541.5667534397121</v>
      </c>
      <c r="DF3" s="72">
        <f>'Прогноз цен'!$I$13*'Продажи и Выручка'!DC5</f>
        <v>4047.5048610739573</v>
      </c>
      <c r="DG3" s="72">
        <f>'Прогноз цен'!$I$13*'Продажи и Выручка'!DD5</f>
        <v>4216.1508969520382</v>
      </c>
      <c r="DH3" s="72">
        <f>'Прогноз цен'!$I$13*'Продажи и Выручка'!DE5</f>
        <v>716.74565248184661</v>
      </c>
      <c r="DI3" s="72">
        <f>'Прогноз цен'!$J$13*'Продажи и Выручка'!DF5</f>
        <v>347.41083390884796</v>
      </c>
      <c r="DJ3" s="72">
        <f>'Прогноз цен'!$J$13*'Продажи и Выручка'!DG5</f>
        <v>694.82166781769592</v>
      </c>
      <c r="DK3" s="72">
        <f>'Прогноз цен'!$J$13*'Продажи и Выручка'!DH5</f>
        <v>1302.7906271581799</v>
      </c>
      <c r="DL3" s="72">
        <f>'Прогноз цен'!$J$13*'Продажи и Выручка'!DI5</f>
        <v>1823.9068780214518</v>
      </c>
      <c r="DM3" s="72">
        <f>'Прогноз цен'!$J$13*'Продажи и Выручка'!DJ5</f>
        <v>1737.0541695442398</v>
      </c>
      <c r="DN3" s="72">
        <f>'Прогноз цен'!$J$13*'Продажи и Выручка'!DK5</f>
        <v>2084.4650034530878</v>
      </c>
      <c r="DO3" s="72">
        <f>'Прогноз цен'!$J$13*'Продажи и Выручка'!DL5</f>
        <v>2431.8758373619357</v>
      </c>
      <c r="DP3" s="72">
        <f>'Прогноз цен'!$J$13*'Продажи и Выручка'!DM5</f>
        <v>2996.4184424638133</v>
      </c>
      <c r="DQ3" s="72">
        <f>'Прогноз цен'!$J$13*'Продажи и Выручка'!DN5</f>
        <v>3647.8137560429036</v>
      </c>
      <c r="DR3" s="72">
        <f>'Прогноз цен'!$J$13*'Продажи и Выручка'!DO5</f>
        <v>4168.9300069061755</v>
      </c>
      <c r="DS3" s="72">
        <f>'Прогноз цен'!$J$13*'Продажи и Выручка'!DP5</f>
        <v>4342.6354238605991</v>
      </c>
      <c r="DT3" s="72">
        <f>'Прогноз цен'!$J$13*'Продажи и Выручка'!DQ5</f>
        <v>738.24802205630203</v>
      </c>
      <c r="DU3" s="72">
        <f>'Прогноз цен'!$K$13*'Продажи и Выручка'!DR5</f>
        <v>357.83315892611341</v>
      </c>
      <c r="DV3" s="72">
        <f>'Прогноз цен'!$K$13*'Продажи и Выручка'!DS5</f>
        <v>715.66631785222683</v>
      </c>
      <c r="DW3" s="72">
        <f>'Прогноз цен'!$K$13*'Продажи и Выручка'!DT5</f>
        <v>1341.8743459729251</v>
      </c>
      <c r="DX3" s="72">
        <f>'Прогноз цен'!$K$13*'Продажи и Выручка'!DU5</f>
        <v>1878.6240843620951</v>
      </c>
      <c r="DY3" s="72">
        <f>'Прогноз цен'!$K$13*'Продажи и Выручка'!DV5</f>
        <v>1789.165794630567</v>
      </c>
      <c r="DZ3" s="72">
        <f>'Прогноз цен'!$K$13*'Продажи и Выручка'!DW5</f>
        <v>2146.9989535566801</v>
      </c>
      <c r="EA3" s="72">
        <f>'Прогноз цен'!$K$13*'Продажи и Выручка'!DX5</f>
        <v>2504.8321124827939</v>
      </c>
      <c r="EB3" s="72">
        <f>'Прогноз цен'!$K$13*'Продажи и Выручка'!DY5</f>
        <v>3086.3109957377278</v>
      </c>
      <c r="EC3" s="72">
        <f>'Прогноз цен'!$K$13*'Продажи и Выручка'!DZ5</f>
        <v>3757.2481687241902</v>
      </c>
      <c r="ED3" s="72">
        <f>'Прогноз цен'!$K$13*'Продажи и Выручка'!EA5</f>
        <v>4293.9979071133603</v>
      </c>
      <c r="EE3" s="72">
        <f>'Прогноз цен'!$K$13*'Продажи и Выручка'!EB5</f>
        <v>4472.9144865764174</v>
      </c>
      <c r="EF3" s="72">
        <f>'Прогноз цен'!$K$13*'Продажи и Выручка'!EC5</f>
        <v>760.39546271799099</v>
      </c>
    </row>
    <row r="4" spans="1:136" s="315" customFormat="1">
      <c r="A4" s="221" t="s">
        <v>88</v>
      </c>
      <c r="B4" s="389" t="s">
        <v>396</v>
      </c>
      <c r="C4" s="358" t="s">
        <v>134</v>
      </c>
      <c r="D4" s="314">
        <f>AVERAGE(AC4:EF4)</f>
        <v>9334.548715271987</v>
      </c>
      <c r="E4" s="72">
        <v>0</v>
      </c>
      <c r="F4" s="72">
        <v>0</v>
      </c>
      <c r="G4" s="72">
        <v>0</v>
      </c>
      <c r="H4" s="72">
        <v>0</v>
      </c>
      <c r="I4" s="72">
        <v>0</v>
      </c>
      <c r="J4" s="72">
        <v>0</v>
      </c>
      <c r="K4" s="72">
        <v>0</v>
      </c>
      <c r="L4" s="72">
        <v>0</v>
      </c>
      <c r="M4" s="72">
        <v>0</v>
      </c>
      <c r="N4" s="72">
        <v>0</v>
      </c>
      <c r="O4" s="72">
        <v>0</v>
      </c>
      <c r="P4" s="72">
        <v>0</v>
      </c>
      <c r="Q4" s="72">
        <v>0</v>
      </c>
      <c r="R4" s="72">
        <v>0</v>
      </c>
      <c r="S4" s="72">
        <v>0</v>
      </c>
      <c r="T4" s="72">
        <v>0</v>
      </c>
      <c r="U4" s="72">
        <v>0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A4" s="72">
        <v>0</v>
      </c>
      <c r="AB4" s="72">
        <f>'Прогноз цен'!B14*'Продажи и Выручка'!Y6</f>
        <v>711.56475</v>
      </c>
      <c r="AC4" s="72">
        <f>'Прогноз цен'!$C$14*'Продажи и Выручка'!Z6</f>
        <v>468.79559999999992</v>
      </c>
      <c r="AD4" s="72">
        <f>'Прогноз цен'!$C$14*'Продажи и Выручка'!AA6</f>
        <v>1205.4744000000001</v>
      </c>
      <c r="AE4" s="72">
        <f>'Прогноз цен'!$C$14*'Продажи и Выручка'!AB6</f>
        <v>3013.6859999999997</v>
      </c>
      <c r="AF4" s="72">
        <f>'Прогноз цен'!$C$14*'Продажи и Выручка'!AC6</f>
        <v>5273.9504999999999</v>
      </c>
      <c r="AG4" s="72">
        <f>'Прогноз цен'!$C$14*'Продажи и Выручка'!AD6</f>
        <v>5357.6639999999998</v>
      </c>
      <c r="AH4" s="72">
        <f>'Прогноз цен'!$C$14*'Продажи и Выручка'!AE6</f>
        <v>6429.1967999999997</v>
      </c>
      <c r="AI4" s="72">
        <f>'Прогноз цен'!$C$14*'Продажи и Выручка'!AF6</f>
        <v>7500.7296000000015</v>
      </c>
      <c r="AJ4" s="72">
        <f>'Прогноз цен'!$C$14*'Продажи и Выручка'!AG6</f>
        <v>9241.9703999999983</v>
      </c>
      <c r="AK4" s="72">
        <f>'Прогноз цен'!$C$14*'Продажи и Выручка'!AH6</f>
        <v>11251.0944</v>
      </c>
      <c r="AL4" s="72">
        <f>'Прогноз цен'!$C$14*'Продажи и Выручка'!AI6</f>
        <v>12858.393599999999</v>
      </c>
      <c r="AM4" s="72">
        <f>'Прогноз цен'!$C$14*'Продажи и Выручка'!AJ6</f>
        <v>13394.16</v>
      </c>
      <c r="AN4" s="72">
        <f>'Прогноз цен'!$C$14*'Продажи и Выручка'!AK6</f>
        <v>2846.259</v>
      </c>
      <c r="AO4" s="72">
        <f>'Прогноз цен'!$D$14*'Продажи и Выручка'!AL6</f>
        <v>1379.5984799999999</v>
      </c>
      <c r="AP4" s="72">
        <f>'Прогноз цен'!$D$14*'Продажи и Выручка'!AM6</f>
        <v>2759.1969599999998</v>
      </c>
      <c r="AQ4" s="72">
        <f>'Прогноз цен'!$D$14*'Продажи и Выручка'!AN6</f>
        <v>5173.4942999999994</v>
      </c>
      <c r="AR4" s="72">
        <f>'Прогноз цен'!$D$14*'Продажи и Выручка'!AO6</f>
        <v>7242.8920199999993</v>
      </c>
      <c r="AS4" s="72">
        <f>'Прогноз цен'!$D$14*'Продажи и Выручка'!AP6</f>
        <v>6897.9924000000001</v>
      </c>
      <c r="AT4" s="72">
        <f>'Прогноз цен'!$D$14*'Продажи и Выручка'!AQ6</f>
        <v>8277.5908799999997</v>
      </c>
      <c r="AU4" s="72">
        <f>'Прогноз цен'!$D$14*'Продажи и Выручка'!AR6</f>
        <v>9657.1893600000003</v>
      </c>
      <c r="AV4" s="72">
        <f>'Прогноз цен'!$D$14*'Продажи и Выручка'!AS6</f>
        <v>11899.036889999998</v>
      </c>
      <c r="AW4" s="72">
        <f>'Прогноз цен'!$D$14*'Продажи и Выручка'!AT6</f>
        <v>14485.784039999999</v>
      </c>
      <c r="AX4" s="72">
        <f>'Прогноз цен'!$D$14*'Продажи и Выручка'!AU6</f>
        <v>16555.181759999999</v>
      </c>
      <c r="AY4" s="72">
        <f>'Прогноз цен'!$D$14*'Продажи и Выручка'!AV6</f>
        <v>17244.981</v>
      </c>
      <c r="AZ4" s="72">
        <f>'Прогноз цен'!$D$14*'Продажи и Выручка'!AW6</f>
        <v>2931.6467700000003</v>
      </c>
      <c r="BA4" s="72">
        <f>'Прогноз цен'!$E$14*'Продажи и Выручка'!AX6</f>
        <v>1420.9864344</v>
      </c>
      <c r="BB4" s="72">
        <f>'Прогноз цен'!$E$14*'Продажи и Выручка'!AY6</f>
        <v>2841.9728688</v>
      </c>
      <c r="BC4" s="72">
        <f>'Прогноз цен'!$E$14*'Продажи и Выручка'!AZ6</f>
        <v>5328.6991290000005</v>
      </c>
      <c r="BD4" s="72">
        <f>'Прогноз цен'!$E$14*'Продажи и Выручка'!BA6</f>
        <v>7460.1787806000002</v>
      </c>
      <c r="BE4" s="72">
        <f>'Прогноз цен'!$E$14*'Продажи и Выручка'!BB6</f>
        <v>7104.9321719999998</v>
      </c>
      <c r="BF4" s="72">
        <f>'Прогноз цен'!$E$14*'Продажи и Выручка'!BC6</f>
        <v>8525.9186064000005</v>
      </c>
      <c r="BG4" s="72">
        <f>'Прогноз цен'!$E$14*'Продажи и Выручка'!BD6</f>
        <v>9946.9050408000021</v>
      </c>
      <c r="BH4" s="72">
        <f>'Прогноз цен'!$E$14*'Продажи и Выручка'!BE6</f>
        <v>12256.007996699998</v>
      </c>
      <c r="BI4" s="72">
        <f>'Прогноз цен'!$E$14*'Продажи и Выручка'!BF6</f>
        <v>14920.3575612</v>
      </c>
      <c r="BJ4" s="72">
        <f>'Прогноз цен'!$E$14*'Продажи и Выручка'!BG6</f>
        <v>17051.837212800001</v>
      </c>
      <c r="BK4" s="72">
        <f>'Прогноз цен'!$E$14*'Продажи и Выручка'!BH6</f>
        <v>17762.330430000002</v>
      </c>
      <c r="BL4" s="72">
        <f>'Прогноз цен'!$E$14*'Продажи и Выручка'!BI6</f>
        <v>3019.5961731000002</v>
      </c>
      <c r="BM4" s="72">
        <f>'Прогноз цен'!$F$14*'Продажи и Выручка'!BJ6</f>
        <v>1463.616027432</v>
      </c>
      <c r="BN4" s="72">
        <f>'Прогноз цен'!$F$14*'Продажи и Выручка'!BK6</f>
        <v>2927.232054864</v>
      </c>
      <c r="BO4" s="72">
        <f>'Прогноз цен'!$F$14*'Продажи и Выручка'!BL6</f>
        <v>5488.5601028700003</v>
      </c>
      <c r="BP4" s="72">
        <f>'Прогноз цен'!$F$14*'Продажи и Выручка'!BM6</f>
        <v>7683.9841440180007</v>
      </c>
      <c r="BQ4" s="72">
        <f>'Прогноз цен'!$F$14*'Продажи и Выручка'!BN6</f>
        <v>7318.08013716</v>
      </c>
      <c r="BR4" s="72">
        <f>'Прогноз цен'!$F$14*'Продажи и Выручка'!BO6</f>
        <v>8781.6961645920001</v>
      </c>
      <c r="BS4" s="72">
        <f>'Прогноз цен'!$F$14*'Продажи и Выручка'!BP6</f>
        <v>10245.312192024003</v>
      </c>
      <c r="BT4" s="72">
        <f>'Прогноз цен'!$F$14*'Продажи и Выручка'!BQ6</f>
        <v>12623.688236601</v>
      </c>
      <c r="BU4" s="72">
        <f>'Прогноз цен'!$F$14*'Продажи и Выручка'!BR6</f>
        <v>15367.968288036001</v>
      </c>
      <c r="BV4" s="72">
        <f>'Прогноз цен'!$F$14*'Продажи и Выручка'!BS6</f>
        <v>17563.392329184</v>
      </c>
      <c r="BW4" s="72">
        <f>'Прогноз цен'!$F$14*'Продажи и Выручка'!BT6</f>
        <v>18295.2003429</v>
      </c>
      <c r="BX4" s="72">
        <f>'Прогноз цен'!$F$14*'Продажи и Выручка'!BU6</f>
        <v>3110.1840582930004</v>
      </c>
      <c r="BY4" s="72">
        <f>'Прогноз цен'!$G$14*'Продажи и Выручка'!BV6</f>
        <v>1507.5245082549602</v>
      </c>
      <c r="BZ4" s="72">
        <f>'Прогноз цен'!$G$14*'Продажи и Выручка'!BW6</f>
        <v>3015.0490165099204</v>
      </c>
      <c r="CA4" s="72">
        <f>'Прогноз цен'!$G$14*'Продажи и Выручка'!BX6</f>
        <v>5653.2169059561002</v>
      </c>
      <c r="CB4" s="72">
        <f>'Прогноз цен'!$G$14*'Продажи и Выручка'!BY6</f>
        <v>7914.5036683385406</v>
      </c>
      <c r="CC4" s="72">
        <f>'Прогноз цен'!$G$14*'Продажи и Выручка'!BZ6</f>
        <v>7537.6225412748008</v>
      </c>
      <c r="CD4" s="72">
        <f>'Прогноз цен'!$G$14*'Продажи и Выручка'!CA6</f>
        <v>9045.1470495297599</v>
      </c>
      <c r="CE4" s="72">
        <f>'Прогноз цен'!$G$14*'Продажи и Выручка'!CB6</f>
        <v>10552.671557784723</v>
      </c>
      <c r="CF4" s="72">
        <f>'Прогноз цен'!$G$14*'Продажи и Выручка'!CC6</f>
        <v>13002.39888369903</v>
      </c>
      <c r="CG4" s="72">
        <f>'Прогноз цен'!$G$14*'Продажи и Выручка'!CD6</f>
        <v>15829.007336677081</v>
      </c>
      <c r="CH4" s="72">
        <f>'Прогноз цен'!$G$14*'Продажи и Выручка'!CE6</f>
        <v>18090.29409905952</v>
      </c>
      <c r="CI4" s="72">
        <f>'Прогноз цен'!$G$14*'Продажи и Выручка'!CF6</f>
        <v>18844.056353187003</v>
      </c>
      <c r="CJ4" s="72">
        <f>'Прогноз цен'!$G$14*'Продажи и Выручка'!CG6</f>
        <v>3203.4895800417908</v>
      </c>
      <c r="CK4" s="72">
        <f>'Прогноз цен'!$H$14*'Продажи и Выручка'!CH6</f>
        <v>1552.750243502609</v>
      </c>
      <c r="CL4" s="72">
        <f>'Прогноз цен'!$H$14*'Продажи и Выручка'!CI6</f>
        <v>3105.500487005218</v>
      </c>
      <c r="CM4" s="72">
        <f>'Прогноз цен'!$H$14*'Продажи и Выручка'!CJ6</f>
        <v>5822.8134131347842</v>
      </c>
      <c r="CN4" s="72">
        <f>'Прогноз цен'!$H$14*'Продажи и Выручка'!CK6</f>
        <v>8151.9387783886978</v>
      </c>
      <c r="CO4" s="72">
        <f>'Прогноз цен'!$H$14*'Продажи и Выручка'!CL6</f>
        <v>7763.751217513045</v>
      </c>
      <c r="CP4" s="72">
        <f>'Прогноз цен'!$H$14*'Продажи и Выручка'!CM6</f>
        <v>9316.5014610156541</v>
      </c>
      <c r="CQ4" s="72">
        <f>'Прогноз цен'!$H$14*'Продажи и Выручка'!CN6</f>
        <v>10869.251704518265</v>
      </c>
      <c r="CR4" s="72">
        <f>'Прогноз цен'!$H$14*'Продажи и Выручка'!CO6</f>
        <v>13392.470850210002</v>
      </c>
      <c r="CS4" s="72">
        <f>'Прогноз цен'!$H$14*'Продажи и Выручка'!CP6</f>
        <v>16303.877556777396</v>
      </c>
      <c r="CT4" s="72">
        <f>'Прогноз цен'!$H$14*'Продажи и Выручка'!CQ6</f>
        <v>18633.002922031308</v>
      </c>
      <c r="CU4" s="72">
        <f>'Прогноз цен'!$H$14*'Продажи и Выручка'!CR6</f>
        <v>19409.378043782614</v>
      </c>
      <c r="CV4" s="72">
        <f>'Прогноз цен'!$H$14*'Продажи и Выручка'!CS6</f>
        <v>3299.5942674430448</v>
      </c>
      <c r="CW4" s="72">
        <f>'Прогноз цен'!$I$14*'Продажи и Выручка'!CT6</f>
        <v>1599.3327508076873</v>
      </c>
      <c r="CX4" s="72">
        <f>'Прогноз цен'!$I$14*'Продажи и Выручка'!CU6</f>
        <v>3198.6655016153745</v>
      </c>
      <c r="CY4" s="72">
        <f>'Прогноз цен'!$I$14*'Продажи и Выручка'!CV6</f>
        <v>5997.4978155288272</v>
      </c>
      <c r="CZ4" s="72">
        <f>'Прогноз цен'!$I$14*'Продажи и Выручка'!CW6</f>
        <v>8396.496941740359</v>
      </c>
      <c r="DA4" s="72">
        <f>'Прогноз цен'!$I$14*'Продажи и Выручка'!CX6</f>
        <v>7996.6637540384363</v>
      </c>
      <c r="DB4" s="72">
        <f>'Прогноз цен'!$I$14*'Продажи и Выручка'!CY6</f>
        <v>9595.9965048461236</v>
      </c>
      <c r="DC4" s="72">
        <f>'Прогноз цен'!$I$14*'Продажи и Выручка'!CZ6</f>
        <v>11195.329255653813</v>
      </c>
      <c r="DD4" s="72">
        <f>'Прогноз цен'!$I$14*'Продажи и Выручка'!DA6</f>
        <v>13794.244975716301</v>
      </c>
      <c r="DE4" s="72">
        <f>'Прогноз цен'!$I$14*'Продажи и Выручка'!DB6</f>
        <v>16792.993883480718</v>
      </c>
      <c r="DF4" s="72">
        <f>'Прогноз цен'!$I$14*'Продажи и Выручка'!DC6</f>
        <v>19191.993009692247</v>
      </c>
      <c r="DG4" s="72">
        <f>'Прогноз цен'!$I$14*'Продажи и Выручка'!DD6</f>
        <v>19991.659385096093</v>
      </c>
      <c r="DH4" s="72">
        <f>'Прогноз цен'!$I$14*'Продажи и Выручка'!DE6</f>
        <v>3398.5820954663359</v>
      </c>
      <c r="DI4" s="72">
        <f>'Прогноз цен'!$J$14*'Продажи и Выручка'!DF6</f>
        <v>1647.312733331918</v>
      </c>
      <c r="DJ4" s="72">
        <f>'Прогноз цен'!$J$14*'Продажи и Выручка'!DG6</f>
        <v>3294.6254666638361</v>
      </c>
      <c r="DK4" s="72">
        <f>'Прогноз цен'!$J$14*'Продажи и Выручка'!DH6</f>
        <v>6177.4227499946919</v>
      </c>
      <c r="DL4" s="72">
        <f>'Прогноз цен'!$J$14*'Продажи и Выручка'!DI6</f>
        <v>8648.3918499925694</v>
      </c>
      <c r="DM4" s="72">
        <f>'Прогноз цен'!$J$14*'Продажи и Выручка'!DJ6</f>
        <v>8236.5636666595892</v>
      </c>
      <c r="DN4" s="72">
        <f>'Прогноз цен'!$J$14*'Продажи и Выручка'!DK6</f>
        <v>9883.8763999915082</v>
      </c>
      <c r="DO4" s="72">
        <f>'Прогноз цен'!$J$14*'Продажи и Выручка'!DL6</f>
        <v>11531.189133323427</v>
      </c>
      <c r="DP4" s="72">
        <f>'Прогноз цен'!$J$14*'Продажи и Выручка'!DM6</f>
        <v>14208.07232498779</v>
      </c>
      <c r="DQ4" s="72">
        <f>'Прогноз цен'!$J$14*'Продажи и Выручка'!DN6</f>
        <v>17296.783699985139</v>
      </c>
      <c r="DR4" s="72">
        <f>'Прогноз цен'!$J$14*'Продажи и Выручка'!DO6</f>
        <v>19767.752799983016</v>
      </c>
      <c r="DS4" s="72">
        <f>'Прогноз цен'!$J$14*'Продажи и Выручка'!DP6</f>
        <v>20591.409166648973</v>
      </c>
      <c r="DT4" s="72">
        <f>'Прогноз цен'!$J$14*'Продажи и Выручка'!DQ6</f>
        <v>3500.5395583303261</v>
      </c>
      <c r="DU4" s="72">
        <f>'Прогноз цен'!$K$14*'Продажи и Выручка'!DR6</f>
        <v>1696.7321153318758</v>
      </c>
      <c r="DV4" s="72">
        <f>'Прогноз цен'!$K$14*'Продажи и Выручка'!DS6</f>
        <v>3393.4642306637516</v>
      </c>
      <c r="DW4" s="72">
        <f>'Прогноз цен'!$K$14*'Продажи и Выручка'!DT6</f>
        <v>6362.7454324945338</v>
      </c>
      <c r="DX4" s="72">
        <f>'Прогноз цен'!$K$14*'Продажи и Выручка'!DU6</f>
        <v>8907.8436054923477</v>
      </c>
      <c r="DY4" s="72">
        <f>'Прогноз цен'!$K$14*'Продажи и Выручка'!DV6</f>
        <v>8483.6605766593784</v>
      </c>
      <c r="DZ4" s="72">
        <f>'Прогноз цен'!$K$14*'Продажи и Выручка'!DW6</f>
        <v>10180.392691991254</v>
      </c>
      <c r="EA4" s="72">
        <f>'Прогноз цен'!$K$14*'Продажи и Выручка'!DX6</f>
        <v>11877.124807323133</v>
      </c>
      <c r="EB4" s="72">
        <f>'Прогноз цен'!$K$14*'Продажи и Выручка'!DY6</f>
        <v>14634.314494737426</v>
      </c>
      <c r="EC4" s="72">
        <f>'Прогноз цен'!$K$14*'Продажи и Выручка'!DZ6</f>
        <v>17815.687210984695</v>
      </c>
      <c r="ED4" s="72">
        <f>'Прогноз цен'!$K$14*'Продажи и Выручка'!EA6</f>
        <v>20360.785383982507</v>
      </c>
      <c r="EE4" s="72">
        <f>'Прогноз цен'!$K$14*'Продажи и Выручка'!EB6</f>
        <v>21209.151441648446</v>
      </c>
      <c r="EF4" s="72">
        <f>'Прогноз цен'!$K$14*'Продажи и Выручка'!EC6</f>
        <v>3605.5557450802362</v>
      </c>
    </row>
    <row r="5" spans="1:136" s="315" customFormat="1" ht="25.5">
      <c r="A5" s="221" t="s">
        <v>25</v>
      </c>
      <c r="B5" s="389" t="s">
        <v>397</v>
      </c>
      <c r="C5" s="358" t="s">
        <v>134</v>
      </c>
      <c r="D5" s="314">
        <f>AVERAGE(AC5:EF5)</f>
        <v>9517.0281119349256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>
        <v>0</v>
      </c>
      <c r="M5" s="72">
        <v>0</v>
      </c>
      <c r="N5" s="72">
        <v>0</v>
      </c>
      <c r="O5" s="72">
        <v>0</v>
      </c>
      <c r="P5" s="72">
        <v>0</v>
      </c>
      <c r="Q5" s="72">
        <v>0</v>
      </c>
      <c r="R5" s="72">
        <v>0</v>
      </c>
      <c r="S5" s="72">
        <v>0</v>
      </c>
      <c r="T5" s="72">
        <v>0</v>
      </c>
      <c r="U5" s="72">
        <v>0</v>
      </c>
      <c r="V5" s="72">
        <v>0</v>
      </c>
      <c r="W5" s="72">
        <v>0</v>
      </c>
      <c r="X5" s="72">
        <v>0</v>
      </c>
      <c r="Y5" s="72">
        <v>0</v>
      </c>
      <c r="Z5" s="72">
        <v>0</v>
      </c>
      <c r="AA5" s="72">
        <v>0</v>
      </c>
      <c r="AB5" s="72">
        <f>'Прогноз цен'!B15*'Продажи и Выручка'!Y7</f>
        <v>725.47500000000014</v>
      </c>
      <c r="AC5" s="72">
        <f>'Прогноз цен'!$C$15*'Продажи и Выручка'!Z7</f>
        <v>477.96000000000004</v>
      </c>
      <c r="AD5" s="72">
        <f>'Прогноз цен'!$C$15*'Продажи и Выручка'!AA7</f>
        <v>1229.0400000000002</v>
      </c>
      <c r="AE5" s="72">
        <f>'Прогноз цен'!$C$15*'Продажи и Выручка'!AB7</f>
        <v>3072.6000000000004</v>
      </c>
      <c r="AF5" s="72">
        <f>'Прогноз цен'!$C$15*'Продажи и Выручка'!AC7</f>
        <v>5377.05</v>
      </c>
      <c r="AG5" s="72">
        <f>'Прогноз цен'!$C$15*'Продажи и Выручка'!AD7</f>
        <v>5462.4000000000005</v>
      </c>
      <c r="AH5" s="72">
        <f>'Прогноз цен'!$C$15*'Продажи и Выручка'!AE7</f>
        <v>6554.88</v>
      </c>
      <c r="AI5" s="72">
        <f>'Прогноз цен'!$C$15*'Продажи и Выручка'!AF7</f>
        <v>7647.3600000000015</v>
      </c>
      <c r="AJ5" s="72">
        <f>'Прогноз цен'!$C$15*'Продажи и Выручка'!AG7</f>
        <v>9422.6400000000012</v>
      </c>
      <c r="AK5" s="72">
        <f>'Прогноз цен'!$C$15*'Продажи и Выручка'!AH7</f>
        <v>11471.04</v>
      </c>
      <c r="AL5" s="72">
        <f>'Прогноз цен'!$C$15*'Продажи и Выручка'!AI7</f>
        <v>13109.76</v>
      </c>
      <c r="AM5" s="72">
        <f>'Прогноз цен'!$C$15*'Продажи и Выручка'!AJ7</f>
        <v>13656.000000000002</v>
      </c>
      <c r="AN5" s="72">
        <f>'Прогноз цен'!$C$15*'Продажи и Выручка'!AK7</f>
        <v>2901.9000000000005</v>
      </c>
      <c r="AO5" s="72">
        <f>'Прогноз цен'!$D$15*'Продажи и Выручка'!AL7</f>
        <v>1406.5680000000002</v>
      </c>
      <c r="AP5" s="72">
        <f>'Прогноз цен'!$D$15*'Продажи и Выручка'!AM7</f>
        <v>2813.1360000000004</v>
      </c>
      <c r="AQ5" s="72">
        <f>'Прогноз цен'!$D$15*'Продажи и Выручка'!AN7</f>
        <v>5274.63</v>
      </c>
      <c r="AR5" s="72">
        <f>'Прогноз цен'!$D$15*'Продажи и Выручка'!AO7</f>
        <v>7384.4820000000009</v>
      </c>
      <c r="AS5" s="72">
        <f>'Прогноз цен'!$D$15*'Продажи и Выручка'!AP7</f>
        <v>7032.84</v>
      </c>
      <c r="AT5" s="72">
        <f>'Прогноз цен'!$D$15*'Продажи и Выручка'!AQ7</f>
        <v>8439.4080000000013</v>
      </c>
      <c r="AU5" s="72">
        <f>'Прогноз цен'!$D$15*'Продажи и Выручка'!AR7</f>
        <v>9845.9760000000024</v>
      </c>
      <c r="AV5" s="72">
        <f>'Прогноз цен'!$D$15*'Продажи и Выручка'!AS7</f>
        <v>12131.649000000001</v>
      </c>
      <c r="AW5" s="72">
        <f>'Прогноз цен'!$D$15*'Продажи и Выручка'!AT7</f>
        <v>14768.964000000002</v>
      </c>
      <c r="AX5" s="72">
        <f>'Прогноз цен'!$D$15*'Продажи и Выручка'!AU7</f>
        <v>16878.816000000003</v>
      </c>
      <c r="AY5" s="72">
        <f>'Прогноз цен'!$D$15*'Продажи и Выручка'!AV7</f>
        <v>17582.100000000002</v>
      </c>
      <c r="AZ5" s="72">
        <f>'Прогноз цен'!$D$15*'Продажи и Выручка'!AW7</f>
        <v>2988.9570000000008</v>
      </c>
      <c r="BA5" s="72">
        <f>'Прогноз цен'!$E$15*'Продажи и Выручка'!AX7</f>
        <v>1448.7650400000002</v>
      </c>
      <c r="BB5" s="72">
        <f>'Прогноз цен'!$E$15*'Продажи и Выручка'!AY7</f>
        <v>2897.5300800000005</v>
      </c>
      <c r="BC5" s="72">
        <f>'Прогноз цен'!$E$15*'Продажи и Выручка'!AZ7</f>
        <v>5432.8689000000004</v>
      </c>
      <c r="BD5" s="72">
        <f>'Прогноз цен'!$E$15*'Продажи и Выручка'!BA7</f>
        <v>7606.0164600000007</v>
      </c>
      <c r="BE5" s="72">
        <f>'Прогноз цен'!$E$15*'Продажи и Выручка'!BB7</f>
        <v>7243.8252000000002</v>
      </c>
      <c r="BF5" s="72">
        <f>'Прогноз цен'!$E$15*'Продажи и Выручка'!BC7</f>
        <v>8692.5902400000014</v>
      </c>
      <c r="BG5" s="72">
        <f>'Прогноз цен'!$E$15*'Продажи и Выручка'!BD7</f>
        <v>10141.355280000002</v>
      </c>
      <c r="BH5" s="72">
        <f>'Прогноз цен'!$E$15*'Продажи и Выручка'!BE7</f>
        <v>12495.598470000001</v>
      </c>
      <c r="BI5" s="72">
        <f>'Прогноз цен'!$E$15*'Продажи и Выручка'!BF7</f>
        <v>15212.032920000001</v>
      </c>
      <c r="BJ5" s="72">
        <f>'Прогноз цен'!$E$15*'Продажи и Выручка'!BG7</f>
        <v>17385.180480000003</v>
      </c>
      <c r="BK5" s="72">
        <f>'Прогноз цен'!$E$15*'Продажи и Выручка'!BH7</f>
        <v>18109.563000000002</v>
      </c>
      <c r="BL5" s="72">
        <f>'Прогноз цен'!$E$15*'Продажи и Выручка'!BI7</f>
        <v>3078.6257100000007</v>
      </c>
      <c r="BM5" s="72">
        <f>'Прогноз цен'!$F$15*'Продажи и Выручка'!BJ7</f>
        <v>1492.2279912000004</v>
      </c>
      <c r="BN5" s="72">
        <f>'Прогноз цен'!$F$15*'Продажи и Выручка'!BK7</f>
        <v>2984.4559824000007</v>
      </c>
      <c r="BO5" s="72">
        <f>'Прогноз цен'!$F$15*'Продажи и Выручка'!BL7</f>
        <v>5595.8549670000011</v>
      </c>
      <c r="BP5" s="72">
        <f>'Прогноз цен'!$F$15*'Продажи и Выручка'!BM7</f>
        <v>7834.1969538000012</v>
      </c>
      <c r="BQ5" s="72">
        <f>'Прогноз цен'!$F$15*'Продажи и Выручка'!BN7</f>
        <v>7461.1399560000009</v>
      </c>
      <c r="BR5" s="72">
        <f>'Прогноз цен'!$F$15*'Продажи и Выручка'!BO7</f>
        <v>8953.3679472000022</v>
      </c>
      <c r="BS5" s="72">
        <f>'Прогноз цен'!$F$15*'Продажи и Выручка'!BP7</f>
        <v>10445.595938400003</v>
      </c>
      <c r="BT5" s="72">
        <f>'Прогноз цен'!$F$15*'Продажи и Выручка'!BQ7</f>
        <v>12870.466424100003</v>
      </c>
      <c r="BU5" s="72">
        <f>'Прогноз цен'!$F$15*'Продажи и Выручка'!BR7</f>
        <v>15668.393907600002</v>
      </c>
      <c r="BV5" s="72">
        <f>'Прогноз цен'!$F$15*'Продажи и Выручка'!BS7</f>
        <v>17906.735894400004</v>
      </c>
      <c r="BW5" s="72">
        <f>'Прогноз цен'!$F$15*'Продажи и Выручка'!BT7</f>
        <v>18652.849890000005</v>
      </c>
      <c r="BX5" s="72">
        <f>'Прогноз цен'!$F$15*'Продажи и Выручка'!BU7</f>
        <v>3170.9844813000009</v>
      </c>
      <c r="BY5" s="72">
        <f>'Прогноз цен'!$G$15*'Продажи и Выручка'!BV7</f>
        <v>1536.9948309360004</v>
      </c>
      <c r="BZ5" s="72">
        <f>'Прогноз цен'!$G$15*'Продажи и Выручка'!BW7</f>
        <v>3073.9896618720009</v>
      </c>
      <c r="CA5" s="72">
        <f>'Прогноз цен'!$G$15*'Продажи и Выручка'!BX7</f>
        <v>5763.7306160100015</v>
      </c>
      <c r="CB5" s="72">
        <f>'Прогноз цен'!$G$15*'Продажи и Выручка'!BY7</f>
        <v>8069.2228624140016</v>
      </c>
      <c r="CC5" s="72">
        <f>'Прогноз цен'!$G$15*'Продажи и Выручка'!BZ7</f>
        <v>7684.9741546800014</v>
      </c>
      <c r="CD5" s="72">
        <f>'Прогноз цен'!$G$15*'Продажи и Выручка'!CA7</f>
        <v>9221.9689856160021</v>
      </c>
      <c r="CE5" s="72">
        <f>'Прогноз цен'!$G$15*'Продажи и Выручка'!CB7</f>
        <v>10758.963816552005</v>
      </c>
      <c r="CF5" s="72">
        <f>'Прогноз цен'!$G$15*'Продажи и Выручка'!CC7</f>
        <v>13256.580416823002</v>
      </c>
      <c r="CG5" s="72">
        <f>'Прогноз цен'!$G$15*'Продажи и Выручка'!CD7</f>
        <v>16138.445724828003</v>
      </c>
      <c r="CH5" s="72">
        <f>'Прогноз цен'!$G$15*'Продажи и Выручка'!CE7</f>
        <v>18443.937971232004</v>
      </c>
      <c r="CI5" s="72">
        <f>'Прогноз цен'!$G$15*'Продажи и Выручка'!CF7</f>
        <v>19212.435386700006</v>
      </c>
      <c r="CJ5" s="72">
        <f>'Прогноз цен'!$G$15*'Продажи и Выручка'!CG7</f>
        <v>3266.1140157390009</v>
      </c>
      <c r="CK5" s="72">
        <f>'Прогноз цен'!$H$15*'Продажи и Выручка'!CH7</f>
        <v>1583.1046758640805</v>
      </c>
      <c r="CL5" s="72">
        <f>'Прогноз цен'!$H$15*'Продажи и Выручка'!CI7</f>
        <v>3166.209351728161</v>
      </c>
      <c r="CM5" s="72">
        <f>'Прогноз цен'!$H$15*'Продажи и Выручка'!CJ7</f>
        <v>5936.6425344903018</v>
      </c>
      <c r="CN5" s="72">
        <f>'Прогноз цен'!$H$15*'Продажи и Выручка'!CK7</f>
        <v>8311.2995482864226</v>
      </c>
      <c r="CO5" s="72">
        <f>'Прогноз цен'!$H$15*'Продажи и Выручка'!CL7</f>
        <v>7915.5233793204025</v>
      </c>
      <c r="CP5" s="72">
        <f>'Прогноз цен'!$H$15*'Продажи и Выручка'!CM7</f>
        <v>9498.6280551844829</v>
      </c>
      <c r="CQ5" s="72">
        <f>'Прогноз цен'!$H$15*'Продажи и Выручка'!CN7</f>
        <v>11081.732731048565</v>
      </c>
      <c r="CR5" s="72">
        <f>'Прогноз цен'!$H$15*'Продажи и Выручка'!CO7</f>
        <v>13654.277829327693</v>
      </c>
      <c r="CS5" s="72">
        <f>'Прогноз цен'!$H$15*'Продажи и Выручка'!CP7</f>
        <v>16622.599096572845</v>
      </c>
      <c r="CT5" s="72">
        <f>'Прогноз цен'!$H$15*'Продажи и Выручка'!CQ7</f>
        <v>18997.256110368966</v>
      </c>
      <c r="CU5" s="72">
        <f>'Прогноз цен'!$H$15*'Продажи и Выручка'!CR7</f>
        <v>19788.808448301006</v>
      </c>
      <c r="CV5" s="72">
        <f>'Прогноз цен'!$H$15*'Продажи и Выручка'!CS7</f>
        <v>3364.0974362111715</v>
      </c>
      <c r="CW5" s="72">
        <f>'Прогноз цен'!$I$15*'Продажи и Выручка'!CT7</f>
        <v>1630.597816140003</v>
      </c>
      <c r="CX5" s="72">
        <f>'Прогноз цен'!$I$15*'Продажи и Выручка'!CU7</f>
        <v>3261.1956322800061</v>
      </c>
      <c r="CY5" s="72">
        <f>'Прогноз цен'!$I$15*'Продажи и Выручка'!CV7</f>
        <v>6114.7418105250117</v>
      </c>
      <c r="CZ5" s="72">
        <f>'Прогноз цен'!$I$15*'Продажи и Выручка'!CW7</f>
        <v>8560.6385347350151</v>
      </c>
      <c r="DA5" s="72">
        <f>'Прогноз цен'!$I$15*'Продажи и Выручка'!CX7</f>
        <v>8152.9890807000147</v>
      </c>
      <c r="DB5" s="72">
        <f>'Прогноз цен'!$I$15*'Продажи и Выручка'!CY7</f>
        <v>9783.5868968400173</v>
      </c>
      <c r="DC5" s="72">
        <f>'Прогноз цен'!$I$15*'Продажи и Выручка'!CZ7</f>
        <v>11414.184712980023</v>
      </c>
      <c r="DD5" s="72">
        <f>'Прогноз цен'!$I$15*'Продажи и Выручка'!DA7</f>
        <v>14063.906164207527</v>
      </c>
      <c r="DE5" s="72">
        <f>'Прогноз цен'!$I$15*'Продажи и Выручка'!DB7</f>
        <v>17121.27706947003</v>
      </c>
      <c r="DF5" s="72">
        <f>'Прогноз цен'!$I$15*'Продажи и Выручка'!DC7</f>
        <v>19567.173793680035</v>
      </c>
      <c r="DG5" s="72">
        <f>'Прогноз цен'!$I$15*'Продажи и Выручка'!DD7</f>
        <v>20382.472701750037</v>
      </c>
      <c r="DH5" s="72">
        <f>'Прогноз цен'!$I$15*'Продажи и Выручка'!DE7</f>
        <v>3465.0203592975067</v>
      </c>
      <c r="DI5" s="72">
        <f>'Прогноз цен'!$J$15*'Продажи и Выручка'!DF7</f>
        <v>1679.5157506242031</v>
      </c>
      <c r="DJ5" s="72">
        <f>'Прогноз цен'!$J$15*'Продажи и Выручка'!DG7</f>
        <v>3359.0315012484061</v>
      </c>
      <c r="DK5" s="72">
        <f>'Прогноз цен'!$J$15*'Продажи и Выручка'!DH7</f>
        <v>6298.1840648407615</v>
      </c>
      <c r="DL5" s="72">
        <f>'Прогноз цен'!$J$15*'Продажи и Выручка'!DI7</f>
        <v>8817.4576907770661</v>
      </c>
      <c r="DM5" s="72">
        <f>'Прогноз цен'!$J$15*'Продажи и Выручка'!DJ7</f>
        <v>8397.5787531210153</v>
      </c>
      <c r="DN5" s="72">
        <f>'Прогноз цен'!$J$15*'Продажи и Выручка'!DK7</f>
        <v>10077.094503745218</v>
      </c>
      <c r="DO5" s="72">
        <f>'Прогноз цен'!$J$15*'Продажи и Выручка'!DL7</f>
        <v>11756.610254369423</v>
      </c>
      <c r="DP5" s="72">
        <f>'Прогноз цен'!$J$15*'Продажи и Выручка'!DM7</f>
        <v>14485.823349133752</v>
      </c>
      <c r="DQ5" s="72">
        <f>'Прогноз цен'!$J$15*'Продажи и Выручка'!DN7</f>
        <v>17634.915381554132</v>
      </c>
      <c r="DR5" s="72">
        <f>'Прогноз цен'!$J$15*'Продажи и Выручка'!DO7</f>
        <v>20154.189007490437</v>
      </c>
      <c r="DS5" s="72">
        <f>'Прогноз цен'!$J$15*'Продажи и Выручка'!DP7</f>
        <v>20993.946882802538</v>
      </c>
      <c r="DT5" s="72">
        <f>'Прогноз цен'!$J$15*'Продажи и Выручка'!DQ7</f>
        <v>3568.970970076432</v>
      </c>
      <c r="DU5" s="72">
        <f>'Прогноз цен'!$K$15*'Продажи и Выручка'!DR7</f>
        <v>1729.9012231429292</v>
      </c>
      <c r="DV5" s="72">
        <f>'Прогноз цен'!$K$15*'Продажи и Выручка'!DS7</f>
        <v>3459.8024462858584</v>
      </c>
      <c r="DW5" s="72">
        <f>'Прогноз цен'!$K$15*'Продажи и Выручка'!DT7</f>
        <v>6487.1295867859844</v>
      </c>
      <c r="DX5" s="72">
        <f>'Прогноз цен'!$K$15*'Продажи и Выручка'!DU7</f>
        <v>9081.9814215003789</v>
      </c>
      <c r="DY5" s="72">
        <f>'Прогноз цен'!$K$15*'Продажи и Выручка'!DV7</f>
        <v>8649.5061157146465</v>
      </c>
      <c r="DZ5" s="72">
        <f>'Прогноз цен'!$K$15*'Продажи и Выручка'!DW7</f>
        <v>10379.407338857576</v>
      </c>
      <c r="EA5" s="72">
        <f>'Прогноз цен'!$K$15*'Продажи и Выручка'!DX7</f>
        <v>12109.308562000506</v>
      </c>
      <c r="EB5" s="72">
        <f>'Прогноз цен'!$K$15*'Продажи и Выручка'!DY7</f>
        <v>14920.398049607766</v>
      </c>
      <c r="EC5" s="72">
        <f>'Прогноз цен'!$K$15*'Продажи и Выручка'!DZ7</f>
        <v>18163.962843000758</v>
      </c>
      <c r="ED5" s="72">
        <f>'Прогноз цен'!$K$15*'Продажи и Выручка'!EA7</f>
        <v>20758.814677715152</v>
      </c>
      <c r="EE5" s="72">
        <f>'Прогноз цен'!$K$15*'Продажи и Выручка'!EB7</f>
        <v>21623.765289286617</v>
      </c>
      <c r="EF5" s="72">
        <f>'Прогноз цен'!$K$15*'Продажи и Выручка'!EC7</f>
        <v>3676.0400991787251</v>
      </c>
    </row>
    <row r="6" spans="1:136" s="315" customFormat="1" ht="25.5">
      <c r="A6" s="221" t="s">
        <v>192</v>
      </c>
      <c r="B6" s="389" t="s">
        <v>398</v>
      </c>
      <c r="C6" s="358" t="s">
        <v>134</v>
      </c>
      <c r="D6" s="314">
        <f t="shared" ref="D6:D7" si="0">AVERAGE(AC6:EF6)</f>
        <v>3673.5617006174116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f>'Прогноз цен'!B16*'Продажи и Выручка'!Y8</f>
        <v>280.03250000000003</v>
      </c>
      <c r="AC6" s="72">
        <f>'Прогноз цен'!$C$16*'Продажи и Выручка'!Z8</f>
        <v>184.49199999999999</v>
      </c>
      <c r="AD6" s="72">
        <f>'Прогноз цен'!$C$16*'Продажи и Выручка'!AA8</f>
        <v>474.40800000000002</v>
      </c>
      <c r="AE6" s="72">
        <f>'Прогноз цен'!$C$16*'Продажи и Выручка'!AB8</f>
        <v>1186.02</v>
      </c>
      <c r="AF6" s="72">
        <f>'Прогноз цен'!$C$16*'Продажи и Выручка'!AC8</f>
        <v>2075.5349999999999</v>
      </c>
      <c r="AG6" s="72">
        <f>'Прогноз цен'!$C$16*'Продажи и Выручка'!AD8</f>
        <v>2108.48</v>
      </c>
      <c r="AH6" s="72">
        <f>'Прогноз цен'!$C$16*'Продажи и Выручка'!AE8</f>
        <v>2530.1760000000004</v>
      </c>
      <c r="AI6" s="72">
        <f>'Прогноз цен'!$C$16*'Продажи и Выручка'!AF8</f>
        <v>2951.8720000000008</v>
      </c>
      <c r="AJ6" s="72">
        <f>'Прогноз цен'!$C$16*'Продажи и Выручка'!AG8</f>
        <v>3637.1279999999997</v>
      </c>
      <c r="AK6" s="72">
        <f>'Прогноз цен'!$C$16*'Продажи и Выручка'!AH8</f>
        <v>4427.808</v>
      </c>
      <c r="AL6" s="72">
        <f>'Прогноз цен'!$C$16*'Продажи и Выручка'!AI8</f>
        <v>5060.3520000000008</v>
      </c>
      <c r="AM6" s="72">
        <f>'Прогноз цен'!$C$16*'Продажи и Выручка'!AJ8</f>
        <v>5271.2</v>
      </c>
      <c r="AN6" s="72">
        <f>'Прогноз цен'!$C$16*'Продажи и Выручка'!AK8</f>
        <v>1120.1300000000001</v>
      </c>
      <c r="AO6" s="72">
        <f>'Прогноз цен'!$D$16*'Продажи и Выручка'!AL8</f>
        <v>542.93360000000007</v>
      </c>
      <c r="AP6" s="72">
        <f>'Прогноз цен'!$D$16*'Продажи и Выручка'!AM8</f>
        <v>1085.8672000000001</v>
      </c>
      <c r="AQ6" s="72">
        <f>'Прогноз цен'!$D$16*'Продажи и Выручка'!AN8</f>
        <v>2036.0010000000002</v>
      </c>
      <c r="AR6" s="72">
        <f>'Прогноз цен'!$D$16*'Продажи и Выручка'!AO8</f>
        <v>2850.4014000000002</v>
      </c>
      <c r="AS6" s="72">
        <f>'Прогноз цен'!$D$16*'Продажи и Выручка'!AP8</f>
        <v>2714.6680000000001</v>
      </c>
      <c r="AT6" s="72">
        <f>'Прогноз цен'!$D$16*'Продажи и Выручка'!AQ8</f>
        <v>3257.6016000000004</v>
      </c>
      <c r="AU6" s="72">
        <f>'Прогноз цен'!$D$16*'Продажи и Выручка'!AR8</f>
        <v>3800.5352000000012</v>
      </c>
      <c r="AV6" s="72">
        <f>'Прогноз цен'!$D$16*'Продажи и Выручка'!AS8</f>
        <v>4682.8022999999994</v>
      </c>
      <c r="AW6" s="72">
        <f>'Прогноз цен'!$D$16*'Продажи и Выручка'!AT8</f>
        <v>5700.8028000000004</v>
      </c>
      <c r="AX6" s="72">
        <f>'Прогноз цен'!$D$16*'Продажи и Выручка'!AU8</f>
        <v>6515.2032000000008</v>
      </c>
      <c r="AY6" s="72">
        <f>'Прогноз цен'!$D$16*'Продажи и Выручка'!AV8</f>
        <v>6786.670000000001</v>
      </c>
      <c r="AZ6" s="72">
        <f>'Прогноз цен'!$D$16*'Продажи и Выручка'!AW8</f>
        <v>1153.7339000000002</v>
      </c>
      <c r="BA6" s="72">
        <f>'Прогноз цен'!$E$16*'Продажи и Выручка'!AX8</f>
        <v>559.22160800000006</v>
      </c>
      <c r="BB6" s="72">
        <f>'Прогноз цен'!$E$16*'Продажи и Выручка'!AY8</f>
        <v>1118.4432160000001</v>
      </c>
      <c r="BC6" s="72">
        <f>'Прогноз цен'!$E$16*'Продажи и Выручка'!AZ8</f>
        <v>2097.0810300000003</v>
      </c>
      <c r="BD6" s="72">
        <f>'Прогноз цен'!$E$16*'Продажи и Выручка'!BA8</f>
        <v>2935.913442</v>
      </c>
      <c r="BE6" s="72">
        <f>'Прогноз цен'!$E$16*'Продажи и Выручка'!BB8</f>
        <v>2796.1080400000001</v>
      </c>
      <c r="BF6" s="72">
        <f>'Прогноз цен'!$E$16*'Продажи и Выручка'!BC8</f>
        <v>3355.3296480000004</v>
      </c>
      <c r="BG6" s="72">
        <f>'Прогноз цен'!$E$16*'Продажи и Выручка'!BD8</f>
        <v>3914.5512560000011</v>
      </c>
      <c r="BH6" s="72">
        <f>'Прогноз цен'!$E$16*'Продажи и Выручка'!BE8</f>
        <v>4823.2863689999995</v>
      </c>
      <c r="BI6" s="72">
        <f>'Прогноз цен'!$E$16*'Продажи и Выручка'!BF8</f>
        <v>5871.8268840000001</v>
      </c>
      <c r="BJ6" s="72">
        <f>'Прогноз цен'!$E$16*'Продажи и Выручка'!BG8</f>
        <v>6710.6592960000007</v>
      </c>
      <c r="BK6" s="72">
        <f>'Прогноз цен'!$E$16*'Продажи и Выручка'!BH8</f>
        <v>6990.2701000000006</v>
      </c>
      <c r="BL6" s="72">
        <f>'Прогноз цен'!$E$16*'Продажи и Выручка'!BI8</f>
        <v>1188.3459170000001</v>
      </c>
      <c r="BM6" s="72">
        <f>'Прогноз цен'!$F$16*'Продажи и Выручка'!BJ8</f>
        <v>575.99825624000005</v>
      </c>
      <c r="BN6" s="72">
        <f>'Прогноз цен'!$F$16*'Продажи и Выручка'!BK8</f>
        <v>1151.9965124800001</v>
      </c>
      <c r="BO6" s="72">
        <f>'Прогноз цен'!$F$16*'Продажи и Выручка'!BL8</f>
        <v>2159.9934609000002</v>
      </c>
      <c r="BP6" s="72">
        <f>'Прогноз цен'!$F$16*'Продажи и Выручка'!BM8</f>
        <v>3023.9908452600007</v>
      </c>
      <c r="BQ6" s="72">
        <f>'Прогноз цен'!$F$16*'Продажи и Выручка'!BN8</f>
        <v>2879.9912812000007</v>
      </c>
      <c r="BR6" s="72">
        <f>'Прогноз цен'!$F$16*'Продажи и Выручка'!BO8</f>
        <v>3455.9895374400007</v>
      </c>
      <c r="BS6" s="72">
        <f>'Прогноз цен'!$F$16*'Продажи и Выручка'!BP8</f>
        <v>4031.9877936800012</v>
      </c>
      <c r="BT6" s="72">
        <f>'Прогноз цен'!$F$16*'Продажи и Выручка'!BQ8</f>
        <v>4967.9849600699999</v>
      </c>
      <c r="BU6" s="72">
        <f>'Прогноз цен'!$F$16*'Продажи и Выручка'!BR8</f>
        <v>6047.9816905200014</v>
      </c>
      <c r="BV6" s="72">
        <f>'Прогноз цен'!$F$16*'Продажи и Выручка'!BS8</f>
        <v>6911.9790748800015</v>
      </c>
      <c r="BW6" s="72">
        <f>'Прогноз цен'!$F$16*'Продажи и Выручка'!BT8</f>
        <v>7199.9782030000015</v>
      </c>
      <c r="BX6" s="72">
        <f>'Прогноз цен'!$F$16*'Продажи и Выручка'!BU8</f>
        <v>1223.9962945100001</v>
      </c>
      <c r="BY6" s="72">
        <f>'Прогноз цен'!$G$16*'Продажи и Выручка'!BV8</f>
        <v>593.27820392720014</v>
      </c>
      <c r="BZ6" s="72">
        <f>'Прогноз цен'!$G$16*'Продажи и Выручка'!BW8</f>
        <v>1186.5564078544003</v>
      </c>
      <c r="CA6" s="72">
        <f>'Прогноз цен'!$G$16*'Продажи и Выручка'!BX8</f>
        <v>2224.7932647270004</v>
      </c>
      <c r="CB6" s="72">
        <f>'Прогноз цен'!$G$16*'Продажи и Выручка'!BY8</f>
        <v>3114.7105706178008</v>
      </c>
      <c r="CC6" s="72">
        <f>'Прогноз цен'!$G$16*'Продажи и Выручка'!BZ8</f>
        <v>2966.3910196360007</v>
      </c>
      <c r="CD6" s="72">
        <f>'Прогноз цен'!$G$16*'Продажи и Выручка'!CA8</f>
        <v>3559.6692235632008</v>
      </c>
      <c r="CE6" s="72">
        <f>'Прогноз цен'!$G$16*'Продажи и Выручка'!CB8</f>
        <v>4152.9474274904014</v>
      </c>
      <c r="CF6" s="72">
        <f>'Прогноз цен'!$G$16*'Продажи и Выручка'!CC8</f>
        <v>5117.0245088721003</v>
      </c>
      <c r="CG6" s="72">
        <f>'Прогноз цен'!$G$16*'Продажи и Выручка'!CD8</f>
        <v>6229.4211412356017</v>
      </c>
      <c r="CH6" s="72">
        <f>'Прогноз цен'!$G$16*'Продажи и Выручка'!CE8</f>
        <v>7119.3384471264017</v>
      </c>
      <c r="CI6" s="72">
        <f>'Прогноз цен'!$G$16*'Продажи и Выручка'!CF8</f>
        <v>7415.977549090002</v>
      </c>
      <c r="CJ6" s="72">
        <f>'Прогноз цен'!$G$16*'Продажи и Выручка'!CG8</f>
        <v>1260.7161833453004</v>
      </c>
      <c r="CK6" s="72">
        <f>'Прогноз цен'!$H$16*'Продажи и Выручка'!CH8</f>
        <v>611.07655004501623</v>
      </c>
      <c r="CL6" s="72">
        <f>'Прогноз цен'!$H$16*'Продажи и Выручка'!CI8</f>
        <v>1222.1531000900325</v>
      </c>
      <c r="CM6" s="72">
        <f>'Прогноз цен'!$H$16*'Продажи и Выручка'!CJ8</f>
        <v>2291.5370626688109</v>
      </c>
      <c r="CN6" s="72">
        <f>'Прогноз цен'!$H$16*'Продажи и Выручка'!CK8</f>
        <v>3208.1518877363351</v>
      </c>
      <c r="CO6" s="72">
        <f>'Прогноз цен'!$H$16*'Продажи и Выручка'!CL8</f>
        <v>3055.3827502250811</v>
      </c>
      <c r="CP6" s="72">
        <f>'Прогноз цен'!$H$16*'Продажи и Выручка'!CM8</f>
        <v>3666.4593002700972</v>
      </c>
      <c r="CQ6" s="72">
        <f>'Прогноз цен'!$H$16*'Продажи и Выручка'!CN8</f>
        <v>4277.5358503151137</v>
      </c>
      <c r="CR6" s="72">
        <f>'Прогноз цен'!$H$16*'Продажи и Выручка'!CO8</f>
        <v>5270.5352441382638</v>
      </c>
      <c r="CS6" s="72">
        <f>'Прогноз цен'!$H$16*'Продажи и Выручка'!CP8</f>
        <v>6416.3037754726702</v>
      </c>
      <c r="CT6" s="72">
        <f>'Прогноз цен'!$H$16*'Продажи и Выручка'!CQ8</f>
        <v>7332.9186005401943</v>
      </c>
      <c r="CU6" s="72">
        <f>'Прогноз цен'!$H$16*'Продажи и Выручка'!CR8</f>
        <v>7638.4568755627024</v>
      </c>
      <c r="CV6" s="72">
        <f>'Прогноз цен'!$H$16*'Продажи и Выручка'!CS8</f>
        <v>1298.5376688456595</v>
      </c>
      <c r="CW6" s="72">
        <f>'Прогноз цен'!$I$16*'Продажи и Выручка'!CT8</f>
        <v>629.4088465463667</v>
      </c>
      <c r="CX6" s="72">
        <f>'Прогноз цен'!$I$16*'Продажи и Выручка'!CU8</f>
        <v>1258.8176930927334</v>
      </c>
      <c r="CY6" s="72">
        <f>'Прогноз цен'!$I$16*'Продажи и Выручка'!CV8</f>
        <v>2360.2831745488747</v>
      </c>
      <c r="CZ6" s="72">
        <f>'Прогноз цен'!$I$16*'Продажи и Выручка'!CW8</f>
        <v>3304.3964443684249</v>
      </c>
      <c r="DA6" s="72">
        <f>'Прогноз цен'!$I$16*'Продажи и Выручка'!CX8</f>
        <v>3147.0442327318333</v>
      </c>
      <c r="DB6" s="72">
        <f>'Прогноз цен'!$I$16*'Продажи и Выручка'!CY8</f>
        <v>3776.4530792781998</v>
      </c>
      <c r="DC6" s="72">
        <f>'Прогноз цен'!$I$16*'Продажи и Выручка'!CZ8</f>
        <v>4405.8619258245672</v>
      </c>
      <c r="DD6" s="72">
        <f>'Прогноз цен'!$I$16*'Продажи и Выручка'!DA8</f>
        <v>5428.6513014624115</v>
      </c>
      <c r="DE6" s="72">
        <f>'Прогноз цен'!$I$16*'Продажи и Выручка'!DB8</f>
        <v>6608.7928887368498</v>
      </c>
      <c r="DF6" s="72">
        <f>'Прогноз цен'!$I$16*'Продажи и Выручка'!DC8</f>
        <v>7552.9061585563995</v>
      </c>
      <c r="DG6" s="72">
        <f>'Прогноз цен'!$I$16*'Продажи и Выручка'!DD8</f>
        <v>7867.6105818295828</v>
      </c>
      <c r="DH6" s="72">
        <f>'Прогноз цен'!$I$16*'Продажи и Выручка'!DE8</f>
        <v>1337.4937989110292</v>
      </c>
      <c r="DI6" s="72">
        <f>'Прогноз цен'!$J$16*'Продажи и Выручка'!DF8</f>
        <v>648.29111194275765</v>
      </c>
      <c r="DJ6" s="72">
        <f>'Прогноз цен'!$J$16*'Продажи и Выручка'!DG8</f>
        <v>1296.5822238855153</v>
      </c>
      <c r="DK6" s="72">
        <f>'Прогноз цен'!$J$16*'Продажи и Выручка'!DH8</f>
        <v>2431.0916697853413</v>
      </c>
      <c r="DL6" s="72">
        <f>'Прогноз цен'!$J$16*'Продажи и Выручка'!DI8</f>
        <v>3403.5283376994776</v>
      </c>
      <c r="DM6" s="72">
        <f>'Прогноз цен'!$J$16*'Продажи и Выручка'!DJ8</f>
        <v>3241.4555597137883</v>
      </c>
      <c r="DN6" s="72">
        <f>'Прогноз цен'!$J$16*'Продажи и Выручка'!DK8</f>
        <v>3889.7466716565459</v>
      </c>
      <c r="DO6" s="72">
        <f>'Прогноз цен'!$J$16*'Продажи и Выручка'!DL8</f>
        <v>4538.037783599304</v>
      </c>
      <c r="DP6" s="72">
        <f>'Прогноз цен'!$J$16*'Продажи и Выручка'!DM8</f>
        <v>5591.5108405062838</v>
      </c>
      <c r="DQ6" s="72">
        <f>'Прогноз цен'!$J$16*'Продажи и Выручка'!DN8</f>
        <v>6807.0566753989551</v>
      </c>
      <c r="DR6" s="72">
        <f>'Прогноз цен'!$J$16*'Продажи и Выручка'!DO8</f>
        <v>7779.4933433130918</v>
      </c>
      <c r="DS6" s="72">
        <f>'Прогноз цен'!$J$16*'Продажи и Выручка'!DP8</f>
        <v>8103.6388992844704</v>
      </c>
      <c r="DT6" s="72">
        <f>'Прогноз цен'!$J$16*'Продажи и Выручка'!DQ8</f>
        <v>1377.61861287836</v>
      </c>
      <c r="DU6" s="72">
        <f>'Прогноз цен'!$K$16*'Продажи и Выручка'!DR8</f>
        <v>667.73984530104042</v>
      </c>
      <c r="DV6" s="72">
        <f>'Прогноз цен'!$K$16*'Продажи и Выручка'!DS8</f>
        <v>1335.4796906020808</v>
      </c>
      <c r="DW6" s="72">
        <f>'Прогноз цен'!$K$16*'Продажи и Выручка'!DT8</f>
        <v>2504.0244198789014</v>
      </c>
      <c r="DX6" s="72">
        <f>'Прогноз цен'!$K$16*'Продажи и Выручка'!DU8</f>
        <v>3505.634187830462</v>
      </c>
      <c r="DY6" s="72">
        <f>'Прогноз цен'!$K$16*'Продажи и Выручка'!DV8</f>
        <v>3338.6992265052018</v>
      </c>
      <c r="DZ6" s="72">
        <f>'Прогноз цен'!$K$16*'Продажи и Выручка'!DW8</f>
        <v>4006.4390718062423</v>
      </c>
      <c r="EA6" s="72">
        <f>'Прогноз цен'!$K$16*'Продажи и Выручка'!DX8</f>
        <v>4674.1789171072833</v>
      </c>
      <c r="EB6" s="72">
        <f>'Прогноз цен'!$K$16*'Продажи и Выручка'!DY8</f>
        <v>5759.2561657214728</v>
      </c>
      <c r="EC6" s="72">
        <f>'Прогноз цен'!$K$16*'Продажи и Выручка'!DZ8</f>
        <v>7011.268375660924</v>
      </c>
      <c r="ED6" s="72">
        <f>'Прогноз цен'!$K$16*'Продажи и Выручка'!EA8</f>
        <v>8012.8781436124846</v>
      </c>
      <c r="EE6" s="72">
        <f>'Прогноз цен'!$K$16*'Продажи и Выручка'!EB8</f>
        <v>8346.7480662630041</v>
      </c>
      <c r="EF6" s="72">
        <f>'Прогноз цен'!$K$16*'Продажи и Выручка'!EC8</f>
        <v>1418.9471712647107</v>
      </c>
    </row>
    <row r="7" spans="1:136" s="315" customFormat="1" ht="25.5">
      <c r="A7" s="221" t="s">
        <v>205</v>
      </c>
      <c r="B7" s="389" t="s">
        <v>399</v>
      </c>
      <c r="C7" s="358" t="s">
        <v>134</v>
      </c>
      <c r="D7" s="314">
        <f t="shared" si="0"/>
        <v>1807.7335647415221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f>'Прогноз цен'!B17*'Продажи и Выручка'!Y9</f>
        <v>137.80200000000002</v>
      </c>
      <c r="AC7" s="72">
        <f>'Прогноз цен'!$C$17*'Продажи и Выручка'!Z9</f>
        <v>90.787199999999984</v>
      </c>
      <c r="AD7" s="72">
        <f>'Прогноз цен'!$C$17*'Продажи и Выручка'!AA9</f>
        <v>233.45279999999997</v>
      </c>
      <c r="AE7" s="72">
        <f>'Прогноз цен'!$C$17*'Продажи и Выручка'!AB9</f>
        <v>583.63199999999995</v>
      </c>
      <c r="AF7" s="72">
        <f>'Прогноз цен'!$C$17*'Продажи и Выручка'!AC9</f>
        <v>1021.3559999999999</v>
      </c>
      <c r="AG7" s="72">
        <f>'Прогноз цен'!$C$17*'Продажи и Выручка'!AD9</f>
        <v>1037.568</v>
      </c>
      <c r="AH7" s="72">
        <f>'Прогноз цен'!$C$17*'Продажи и Выручка'!AE9</f>
        <v>1245.0816</v>
      </c>
      <c r="AI7" s="72">
        <f>'Прогноз цен'!$C$17*'Продажи и Выручка'!AF9</f>
        <v>1452.5952000000002</v>
      </c>
      <c r="AJ7" s="72">
        <f>'Прогноз цен'!$C$17*'Продажи и Выручка'!AG9</f>
        <v>1789.8047999999997</v>
      </c>
      <c r="AK7" s="72">
        <f>'Прогноз цен'!$C$17*'Продажи и Выручка'!AH9</f>
        <v>2178.8928000000001</v>
      </c>
      <c r="AL7" s="72">
        <f>'Прогноз цен'!$C$17*'Продажи и Выручка'!AI9</f>
        <v>2490.1632</v>
      </c>
      <c r="AM7" s="72">
        <f>'Прогноз цен'!$C$17*'Продажи и Выручка'!AJ9</f>
        <v>2593.9199999999996</v>
      </c>
      <c r="AN7" s="72">
        <f>'Прогноз цен'!$C$17*'Продажи и Выручка'!AK9</f>
        <v>551.20800000000008</v>
      </c>
      <c r="AO7" s="72">
        <f>'Прогноз цен'!$D$17*'Продажи и Выручка'!AL9</f>
        <v>267.17375999999996</v>
      </c>
      <c r="AP7" s="72">
        <f>'Прогноз цен'!$D$17*'Продажи и Выручка'!AM9</f>
        <v>534.34751999999992</v>
      </c>
      <c r="AQ7" s="72">
        <f>'Прогноз цен'!$D$17*'Продажи и Выручка'!AN9</f>
        <v>1001.9015999999999</v>
      </c>
      <c r="AR7" s="72">
        <f>'Прогноз цен'!$D$17*'Продажи и Выручка'!AO9</f>
        <v>1402.6622399999999</v>
      </c>
      <c r="AS7" s="72">
        <f>'Прогноз цен'!$D$17*'Продажи и Выручка'!AP9</f>
        <v>1335.8688</v>
      </c>
      <c r="AT7" s="72">
        <f>'Прогноз цен'!$D$17*'Продажи и Выручка'!AQ9</f>
        <v>1603.0425599999999</v>
      </c>
      <c r="AU7" s="72">
        <f>'Прогноз цен'!$D$17*'Продажи и Выручка'!AR9</f>
        <v>1870.2163200000002</v>
      </c>
      <c r="AV7" s="72">
        <f>'Прогноз цен'!$D$17*'Продажи и Выручка'!AS9</f>
        <v>2304.3736799999997</v>
      </c>
      <c r="AW7" s="72">
        <f>'Прогноз цен'!$D$17*'Продажи и Выручка'!AT9</f>
        <v>2805.3244799999998</v>
      </c>
      <c r="AX7" s="72">
        <f>'Прогноз цен'!$D$17*'Продажи и Выручка'!AU9</f>
        <v>3206.0851199999997</v>
      </c>
      <c r="AY7" s="72">
        <f>'Прогноз цен'!$D$17*'Продажи и Выручка'!AV9</f>
        <v>3339.6719999999996</v>
      </c>
      <c r="AZ7" s="72">
        <f>'Прогноз цен'!$D$17*'Продажи и Выручка'!AW9</f>
        <v>567.74423999999999</v>
      </c>
      <c r="BA7" s="72">
        <f>'Прогноз цен'!$E$17*'Продажи и Выручка'!AX9</f>
        <v>275.18897279999999</v>
      </c>
      <c r="BB7" s="72">
        <f>'Прогноз цен'!$E$17*'Продажи и Выручка'!AY9</f>
        <v>550.37794559999998</v>
      </c>
      <c r="BC7" s="72">
        <f>'Прогноз цен'!$E$17*'Продажи и Выручка'!AZ9</f>
        <v>1031.958648</v>
      </c>
      <c r="BD7" s="72">
        <f>'Прогноз цен'!$E$17*'Продажи и Выручка'!BA9</f>
        <v>1444.7421072</v>
      </c>
      <c r="BE7" s="72">
        <f>'Прогноз цен'!$E$17*'Продажи и Выручка'!BB9</f>
        <v>1375.9448640000001</v>
      </c>
      <c r="BF7" s="72">
        <f>'Прогноз цен'!$E$17*'Продажи и Выручка'!BC9</f>
        <v>1651.1338367999999</v>
      </c>
      <c r="BG7" s="72">
        <f>'Прогноз цен'!$E$17*'Продажи и Выручка'!BD9</f>
        <v>1926.3228096000003</v>
      </c>
      <c r="BH7" s="72">
        <f>'Прогноз цен'!$E$17*'Продажи и Выручка'!BE9</f>
        <v>2373.5048903999996</v>
      </c>
      <c r="BI7" s="72">
        <f>'Прогноз цен'!$E$17*'Продажи и Выручка'!BF9</f>
        <v>2889.4842143999999</v>
      </c>
      <c r="BJ7" s="72">
        <f>'Прогноз цен'!$E$17*'Продажи и Выручка'!BG9</f>
        <v>3302.2676735999999</v>
      </c>
      <c r="BK7" s="72">
        <f>'Прогноз цен'!$E$17*'Продажи и Выручка'!BH9</f>
        <v>3439.8621600000001</v>
      </c>
      <c r="BL7" s="72">
        <f>'Прогноз цен'!$E$17*'Продажи и Выручка'!BI9</f>
        <v>584.77656720000004</v>
      </c>
      <c r="BM7" s="72">
        <f>'Прогноз цен'!$F$17*'Продажи и Выручка'!BJ9</f>
        <v>283.44464198400004</v>
      </c>
      <c r="BN7" s="72">
        <f>'Прогноз цен'!$F$17*'Продажи и Выручка'!BK9</f>
        <v>566.88928396800009</v>
      </c>
      <c r="BO7" s="72">
        <f>'Прогноз цен'!$F$17*'Продажи и Выручка'!BL9</f>
        <v>1062.91740744</v>
      </c>
      <c r="BP7" s="72">
        <f>'Прогноз цен'!$F$17*'Продажи и Выручка'!BM9</f>
        <v>1488.0843704160002</v>
      </c>
      <c r="BQ7" s="72">
        <f>'Прогноз цен'!$F$17*'Продажи и Выручка'!BN9</f>
        <v>1417.22320992</v>
      </c>
      <c r="BR7" s="72">
        <f>'Прогноз цен'!$F$17*'Продажи и Выручка'!BO9</f>
        <v>1700.6678519040001</v>
      </c>
      <c r="BS7" s="72">
        <f>'Прогноз цен'!$F$17*'Продажи и Выручка'!BP9</f>
        <v>1984.1124938880005</v>
      </c>
      <c r="BT7" s="72">
        <f>'Прогноз цен'!$F$17*'Продажи и Выручка'!BQ9</f>
        <v>2444.710037112</v>
      </c>
      <c r="BU7" s="72">
        <f>'Прогноз цен'!$F$17*'Продажи и Выручка'!BR9</f>
        <v>2976.1687408320004</v>
      </c>
      <c r="BV7" s="72">
        <f>'Прогноз цен'!$F$17*'Продажи и Выручка'!BS9</f>
        <v>3401.3357038080003</v>
      </c>
      <c r="BW7" s="72">
        <f>'Прогноз цен'!$F$17*'Продажи и Выручка'!BT9</f>
        <v>3543.0580248000006</v>
      </c>
      <c r="BX7" s="72">
        <f>'Прогноз цен'!$F$17*'Продажи и Выручка'!BU9</f>
        <v>602.31986421600016</v>
      </c>
      <c r="BY7" s="72">
        <f>'Прогноз цен'!$G$17*'Продажи и Выручка'!BV9</f>
        <v>291.94798124352002</v>
      </c>
      <c r="BZ7" s="72">
        <f>'Прогноз цен'!$G$17*'Продажи и Выручка'!BW9</f>
        <v>583.89596248704004</v>
      </c>
      <c r="CA7" s="72">
        <f>'Прогноз цен'!$G$17*'Продажи и Выручка'!BX9</f>
        <v>1094.8049296632</v>
      </c>
      <c r="CB7" s="72">
        <f>'Прогноз цен'!$G$17*'Продажи и Выручка'!BY9</f>
        <v>1532.7269015284801</v>
      </c>
      <c r="CC7" s="72">
        <f>'Прогноз цен'!$G$17*'Продажи и Выручка'!BZ9</f>
        <v>1459.7399062176</v>
      </c>
      <c r="CD7" s="72">
        <f>'Прогноз цен'!$G$17*'Продажи и Выручка'!CA9</f>
        <v>1751.6878874611202</v>
      </c>
      <c r="CE7" s="72">
        <f>'Прогноз цен'!$G$17*'Продажи и Выручка'!CB9</f>
        <v>2043.6358687046404</v>
      </c>
      <c r="CF7" s="72">
        <f>'Прогноз цен'!$G$17*'Продажи и Выручка'!CC9</f>
        <v>2518.0513382253598</v>
      </c>
      <c r="CG7" s="72">
        <f>'Прогноз цен'!$G$17*'Продажи и Выручка'!CD9</f>
        <v>3065.4538030569602</v>
      </c>
      <c r="CH7" s="72">
        <f>'Прогноз цен'!$G$17*'Продажи и Выручка'!CE9</f>
        <v>3503.3757749222405</v>
      </c>
      <c r="CI7" s="72">
        <f>'Прогноз цен'!$G$17*'Продажи и Выручка'!CF9</f>
        <v>3649.3497655440001</v>
      </c>
      <c r="CJ7" s="72">
        <f>'Прогноз цен'!$G$17*'Продажи и Выручка'!CG9</f>
        <v>620.38946014248006</v>
      </c>
      <c r="CK7" s="72">
        <f>'Прогноз цен'!$H$17*'Продажи и Выручка'!CH9</f>
        <v>300.70642068082566</v>
      </c>
      <c r="CL7" s="72">
        <f>'Прогноз цен'!$H$17*'Продажи и Выручка'!CI9</f>
        <v>601.41284136165132</v>
      </c>
      <c r="CM7" s="72">
        <f>'Прогноз цен'!$H$17*'Продажи и Выручка'!CJ9</f>
        <v>1127.649077553096</v>
      </c>
      <c r="CN7" s="72">
        <f>'Прогноз цен'!$H$17*'Продажи и Выручка'!CK9</f>
        <v>1578.7087085743347</v>
      </c>
      <c r="CO7" s="72">
        <f>'Прогноз цен'!$H$17*'Продажи и Выручка'!CL9</f>
        <v>1503.5321034041283</v>
      </c>
      <c r="CP7" s="72">
        <f>'Прогноз цен'!$H$17*'Продажи и Выручка'!CM9</f>
        <v>1804.2385240849537</v>
      </c>
      <c r="CQ7" s="72">
        <f>'Прогноз цен'!$H$17*'Продажи и Выручка'!CN9</f>
        <v>2104.9449447657798</v>
      </c>
      <c r="CR7" s="72">
        <f>'Прогноз цен'!$H$17*'Продажи и Выручка'!CO9</f>
        <v>2593.5928783721206</v>
      </c>
      <c r="CS7" s="72">
        <f>'Прогноз цен'!$H$17*'Продажи и Выручка'!CP9</f>
        <v>3157.4174171486693</v>
      </c>
      <c r="CT7" s="72">
        <f>'Прогноз цен'!$H$17*'Продажи и Выручка'!CQ9</f>
        <v>3608.4770481699074</v>
      </c>
      <c r="CU7" s="72">
        <f>'Прогноз цен'!$H$17*'Продажи и Выручка'!CR9</f>
        <v>3758.8302585103206</v>
      </c>
      <c r="CV7" s="72">
        <f>'Прогноз цен'!$H$17*'Продажи и Выручка'!CS9</f>
        <v>639.00114394675461</v>
      </c>
      <c r="CW7" s="72">
        <f>'Прогноз цен'!$I$17*'Продажи и Выручка'!CT9</f>
        <v>309.72761330125041</v>
      </c>
      <c r="CX7" s="72">
        <f>'Прогноз цен'!$I$17*'Продажи и Выручка'!CU9</f>
        <v>619.45522660250083</v>
      </c>
      <c r="CY7" s="72">
        <f>'Прогноз цен'!$I$17*'Продажи и Выручка'!CV9</f>
        <v>1161.4785498796891</v>
      </c>
      <c r="CZ7" s="72">
        <f>'Прогноз цен'!$I$17*'Продажи и Выручка'!CW9</f>
        <v>1626.0699698315648</v>
      </c>
      <c r="DA7" s="72">
        <f>'Прогноз цен'!$I$17*'Продажи и Выручка'!CX9</f>
        <v>1548.638066506252</v>
      </c>
      <c r="DB7" s="72">
        <f>'Прогноз цен'!$I$17*'Продажи и Выручка'!CY9</f>
        <v>1858.3656798075026</v>
      </c>
      <c r="DC7" s="72">
        <f>'Прогноз цен'!$I$17*'Продажи и Выручка'!CZ9</f>
        <v>2168.0932931087532</v>
      </c>
      <c r="DD7" s="72">
        <f>'Прогноз цен'!$I$17*'Продажи и Выручка'!DA9</f>
        <v>2671.4006647232845</v>
      </c>
      <c r="DE7" s="72">
        <f>'Прогноз цен'!$I$17*'Продажи и Выручка'!DB9</f>
        <v>3252.1399396631296</v>
      </c>
      <c r="DF7" s="72">
        <f>'Прогноз цен'!$I$17*'Продажи и Выручка'!DC9</f>
        <v>3716.7313596150052</v>
      </c>
      <c r="DG7" s="72">
        <f>'Прогноз цен'!$I$17*'Продажи и Выручка'!DD9</f>
        <v>3871.5951662656303</v>
      </c>
      <c r="DH7" s="72">
        <f>'Прогноз цен'!$I$17*'Продажи и Выручка'!DE9</f>
        <v>658.17117826515721</v>
      </c>
      <c r="DI7" s="72">
        <f>'Прогноз цен'!$J$17*'Продажи и Выручка'!DF9</f>
        <v>319.01944170028793</v>
      </c>
      <c r="DJ7" s="72">
        <f>'Прогноз цен'!$J$17*'Продажи и Выручка'!DG9</f>
        <v>638.03888340057586</v>
      </c>
      <c r="DK7" s="72">
        <f>'Прогноз цен'!$J$17*'Продажи и Выручка'!DH9</f>
        <v>1196.3229063760798</v>
      </c>
      <c r="DL7" s="72">
        <f>'Прогноз цен'!$J$17*'Продажи и Выручка'!DI9</f>
        <v>1674.8520689265117</v>
      </c>
      <c r="DM7" s="72">
        <f>'Прогноз цен'!$J$17*'Продажи и Выручка'!DJ9</f>
        <v>1595.0972085014398</v>
      </c>
      <c r="DN7" s="72">
        <f>'Прогноз цен'!$J$17*'Продажи и Выручка'!DK9</f>
        <v>1914.1166502017277</v>
      </c>
      <c r="DO7" s="72">
        <f>'Прогноз цен'!$J$17*'Продажи и Выручка'!DL9</f>
        <v>2233.1360919020158</v>
      </c>
      <c r="DP7" s="72">
        <f>'Прогноз цен'!$J$17*'Продажи и Выручка'!DM9</f>
        <v>2751.542684664983</v>
      </c>
      <c r="DQ7" s="72">
        <f>'Прогноз цен'!$J$17*'Продажи и Выручка'!DN9</f>
        <v>3349.7041378530234</v>
      </c>
      <c r="DR7" s="72">
        <f>'Прогноз цен'!$J$17*'Продажи и Выручка'!DO9</f>
        <v>3828.2333004034554</v>
      </c>
      <c r="DS7" s="72">
        <f>'Прогноз цен'!$J$17*'Продажи и Выручка'!DP9</f>
        <v>3987.7430212535992</v>
      </c>
      <c r="DT7" s="72">
        <f>'Прогноз цен'!$J$17*'Продажи и Выручка'!DQ9</f>
        <v>677.91631361311192</v>
      </c>
      <c r="DU7" s="72">
        <f>'Прогноз цен'!$K$17*'Продажи и Выручка'!DR9</f>
        <v>328.59002495129658</v>
      </c>
      <c r="DV7" s="72">
        <f>'Прогноз цен'!$K$17*'Продажи и Выручка'!DS9</f>
        <v>657.18004990259317</v>
      </c>
      <c r="DW7" s="72">
        <f>'Прогноз цен'!$K$17*'Продажи и Выручка'!DT9</f>
        <v>1232.2125935673621</v>
      </c>
      <c r="DX7" s="72">
        <f>'Прогноз цен'!$K$17*'Продажи и Выручка'!DU9</f>
        <v>1725.0976309943071</v>
      </c>
      <c r="DY7" s="72">
        <f>'Прогноз цен'!$K$17*'Продажи и Выручка'!DV9</f>
        <v>1642.9501247564829</v>
      </c>
      <c r="DZ7" s="72">
        <f>'Прогноз цен'!$K$17*'Продажи и Выручка'!DW9</f>
        <v>1971.5401497077794</v>
      </c>
      <c r="EA7" s="72">
        <f>'Прогноз цен'!$K$17*'Продажи и Выручка'!DX9</f>
        <v>2300.1301746590761</v>
      </c>
      <c r="EB7" s="72">
        <f>'Прогноз цен'!$K$17*'Продажи и Выручка'!DY9</f>
        <v>2834.0889652049327</v>
      </c>
      <c r="EC7" s="72">
        <f>'Прогноз цен'!$K$17*'Продажи и Выручка'!DZ9</f>
        <v>3450.1952619886142</v>
      </c>
      <c r="ED7" s="72">
        <f>'Прогноз цен'!$K$17*'Продажи и Выручка'!EA9</f>
        <v>3943.0802994155588</v>
      </c>
      <c r="EE7" s="72">
        <f>'Прогноз цен'!$K$17*'Продажи и Выручка'!EB9</f>
        <v>4107.3753118912073</v>
      </c>
      <c r="EF7" s="72">
        <f>'Прогноз цен'!$K$17*'Продажи и Выручка'!EC9</f>
        <v>698.25380302150529</v>
      </c>
    </row>
    <row r="8" spans="1:136" s="315" customFormat="1">
      <c r="A8" s="221" t="s">
        <v>507</v>
      </c>
      <c r="B8" s="359" t="str">
        <f>Персонал!B13</f>
        <v>Производственный персонал</v>
      </c>
      <c r="C8" s="358" t="s">
        <v>196</v>
      </c>
      <c r="D8" s="314">
        <f>AVERAGE(AC8:CV8)</f>
        <v>1304.0688377777788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f>Персонал!N13</f>
        <v>0</v>
      </c>
      <c r="AA8" s="72">
        <f>Персонал!O13</f>
        <v>555</v>
      </c>
      <c r="AB8" s="72">
        <f>Персонал!P13</f>
        <v>555</v>
      </c>
      <c r="AC8" s="72">
        <f>Персонал!Q13</f>
        <v>555</v>
      </c>
      <c r="AD8" s="72">
        <f>Персонал!R13</f>
        <v>555</v>
      </c>
      <c r="AE8" s="72">
        <f>Персонал!S13</f>
        <v>555</v>
      </c>
      <c r="AF8" s="72">
        <f>Персонал!T13</f>
        <v>555</v>
      </c>
      <c r="AG8" s="72">
        <f>Персонал!U13</f>
        <v>555</v>
      </c>
      <c r="AH8" s="72">
        <f>Персонал!V13</f>
        <v>555</v>
      </c>
      <c r="AI8" s="72">
        <f>Персонал!W13</f>
        <v>555</v>
      </c>
      <c r="AJ8" s="72">
        <f>Персонал!X13</f>
        <v>555</v>
      </c>
      <c r="AK8" s="72">
        <f>Персонал!Y13</f>
        <v>555</v>
      </c>
      <c r="AL8" s="72">
        <f>Персонал!Z13</f>
        <v>555</v>
      </c>
      <c r="AM8" s="72">
        <f>Персонал!AA13</f>
        <v>555</v>
      </c>
      <c r="AN8" s="72">
        <f>Персонал!AB13</f>
        <v>1076</v>
      </c>
      <c r="AO8" s="72">
        <f>Персонал!AC13</f>
        <v>1183.6000000000001</v>
      </c>
      <c r="AP8" s="72">
        <f>Персонал!AD13</f>
        <v>1183.6000000000001</v>
      </c>
      <c r="AQ8" s="72">
        <f>Персонал!AE13</f>
        <v>1183.6000000000001</v>
      </c>
      <c r="AR8" s="72">
        <f>Персонал!AF13</f>
        <v>1183.6000000000001</v>
      </c>
      <c r="AS8" s="72">
        <f>Персонал!AG13</f>
        <v>1183.6000000000001</v>
      </c>
      <c r="AT8" s="72">
        <f>Персонал!AH13</f>
        <v>1183.6000000000001</v>
      </c>
      <c r="AU8" s="72">
        <f>Персонал!AI13</f>
        <v>1183.6000000000001</v>
      </c>
      <c r="AV8" s="72">
        <f>Персонал!AJ13</f>
        <v>1183.6000000000001</v>
      </c>
      <c r="AW8" s="72">
        <f>Персонал!AK13</f>
        <v>1183.6000000000001</v>
      </c>
      <c r="AX8" s="72">
        <f>Персонал!AL13</f>
        <v>1183.6000000000001</v>
      </c>
      <c r="AY8" s="72">
        <f>Персонал!AM13</f>
        <v>1183.6000000000001</v>
      </c>
      <c r="AZ8" s="72">
        <f>Персонал!AN13</f>
        <v>1183.6000000000001</v>
      </c>
      <c r="BA8" s="72">
        <f>Персонал!AO13</f>
        <v>1301.9600000000003</v>
      </c>
      <c r="BB8" s="72">
        <f>Персонал!AP13</f>
        <v>1301.9600000000003</v>
      </c>
      <c r="BC8" s="72">
        <f>Персонал!AQ13</f>
        <v>1301.9600000000003</v>
      </c>
      <c r="BD8" s="72">
        <f>Персонал!AR13</f>
        <v>1301.9600000000003</v>
      </c>
      <c r="BE8" s="72">
        <f>Персонал!AS13</f>
        <v>1301.9600000000003</v>
      </c>
      <c r="BF8" s="72">
        <f>Персонал!AT13</f>
        <v>1301.9600000000003</v>
      </c>
      <c r="BG8" s="72">
        <f>Персонал!AU13</f>
        <v>1301.9600000000003</v>
      </c>
      <c r="BH8" s="72">
        <f>Персонал!AV13</f>
        <v>1301.9600000000003</v>
      </c>
      <c r="BI8" s="72">
        <f>Персонал!AW13</f>
        <v>1301.9600000000003</v>
      </c>
      <c r="BJ8" s="72">
        <f>Персонал!AX13</f>
        <v>1301.9600000000003</v>
      </c>
      <c r="BK8" s="72">
        <f>Персонал!AY13</f>
        <v>1301.9600000000003</v>
      </c>
      <c r="BL8" s="72">
        <f>Персонал!AZ13</f>
        <v>1301.9600000000003</v>
      </c>
      <c r="BM8" s="72">
        <f>Персонал!BA13</f>
        <v>1432.1560000000004</v>
      </c>
      <c r="BN8" s="72">
        <f>Персонал!BB13</f>
        <v>1432.1560000000004</v>
      </c>
      <c r="BO8" s="72">
        <f>Персонал!BC13</f>
        <v>1432.1560000000004</v>
      </c>
      <c r="BP8" s="72">
        <f>Персонал!BD13</f>
        <v>1432.1560000000004</v>
      </c>
      <c r="BQ8" s="72">
        <f>Персонал!BE13</f>
        <v>1432.1560000000004</v>
      </c>
      <c r="BR8" s="72">
        <f>Персонал!BF13</f>
        <v>1432.1560000000004</v>
      </c>
      <c r="BS8" s="72">
        <f>Персонал!BG13</f>
        <v>1432.1560000000004</v>
      </c>
      <c r="BT8" s="72">
        <f>Персонал!BH13</f>
        <v>1432.1560000000004</v>
      </c>
      <c r="BU8" s="72">
        <f>Персонал!BI13</f>
        <v>1432.1560000000004</v>
      </c>
      <c r="BV8" s="72">
        <f>Персонал!BJ13</f>
        <v>1432.1560000000004</v>
      </c>
      <c r="BW8" s="72">
        <f>Персонал!BK13</f>
        <v>1432.1560000000004</v>
      </c>
      <c r="BX8" s="72">
        <f>Персонал!BL13</f>
        <v>1432.1560000000004</v>
      </c>
      <c r="BY8" s="72">
        <f>Персонал!BM13</f>
        <v>1575.3716000000004</v>
      </c>
      <c r="BZ8" s="72">
        <f>Персонал!BN13</f>
        <v>1575.3716000000004</v>
      </c>
      <c r="CA8" s="72">
        <f>Персонал!BO13</f>
        <v>1575.3716000000004</v>
      </c>
      <c r="CB8" s="72">
        <f>Персонал!BP13</f>
        <v>1575.3716000000004</v>
      </c>
      <c r="CC8" s="72">
        <f>Персонал!BQ13</f>
        <v>1575.3716000000004</v>
      </c>
      <c r="CD8" s="72">
        <f>Персонал!BR13</f>
        <v>1575.3716000000004</v>
      </c>
      <c r="CE8" s="72">
        <f>Персонал!BS13</f>
        <v>1575.3716000000004</v>
      </c>
      <c r="CF8" s="72">
        <f>Персонал!BT13</f>
        <v>1575.3716000000004</v>
      </c>
      <c r="CG8" s="72">
        <f>Персонал!BU13</f>
        <v>1575.3716000000004</v>
      </c>
      <c r="CH8" s="72">
        <f>Персонал!BV13</f>
        <v>1575.3716000000004</v>
      </c>
      <c r="CI8" s="72">
        <f>Персонал!BW13</f>
        <v>1575.3716000000004</v>
      </c>
      <c r="CJ8" s="72">
        <f>Персонал!BX13</f>
        <v>1575.3716000000004</v>
      </c>
      <c r="CK8" s="72">
        <f>Персонал!BY13</f>
        <v>1732.9087600000003</v>
      </c>
      <c r="CL8" s="72">
        <f>Персонал!BZ13</f>
        <v>1732.9087600000003</v>
      </c>
      <c r="CM8" s="72">
        <f>Персонал!CA13</f>
        <v>1732.9087600000003</v>
      </c>
      <c r="CN8" s="72">
        <f>Персонал!CB13</f>
        <v>1732.9087600000003</v>
      </c>
      <c r="CO8" s="72">
        <f>Персонал!CC13</f>
        <v>1732.9087600000003</v>
      </c>
      <c r="CP8" s="72">
        <f>Персонал!CD13</f>
        <v>1732.9087600000003</v>
      </c>
      <c r="CQ8" s="72">
        <f>Персонал!CE13</f>
        <v>1732.9087600000003</v>
      </c>
      <c r="CR8" s="72">
        <f>Персонал!CF13</f>
        <v>1732.9087600000003</v>
      </c>
      <c r="CS8" s="72">
        <f>Персонал!CG13</f>
        <v>1732.9087600000003</v>
      </c>
      <c r="CT8" s="72">
        <f>Персонал!CH13</f>
        <v>1732.9087600000003</v>
      </c>
      <c r="CU8" s="72">
        <f>Персонал!CI13</f>
        <v>1732.9087600000003</v>
      </c>
      <c r="CV8" s="72">
        <f>Персонал!CJ13</f>
        <v>1732.9087600000003</v>
      </c>
      <c r="CW8" s="72">
        <f>Персонал!CK13</f>
        <v>1906.199636000001</v>
      </c>
      <c r="CX8" s="72">
        <f>Персонал!CL13</f>
        <v>1906.199636000001</v>
      </c>
      <c r="CY8" s="72">
        <f>Персонал!CM13</f>
        <v>1906.199636000001</v>
      </c>
      <c r="CZ8" s="72">
        <f>Персонал!CN13</f>
        <v>1906.199636000001</v>
      </c>
      <c r="DA8" s="72">
        <f>Персонал!CO13</f>
        <v>1906.199636000001</v>
      </c>
      <c r="DB8" s="72">
        <f>Персонал!CP13</f>
        <v>1906.199636000001</v>
      </c>
      <c r="DC8" s="72">
        <f>Персонал!CQ13</f>
        <v>1906.199636000001</v>
      </c>
      <c r="DD8" s="72">
        <f>Персонал!CR13</f>
        <v>1906.199636000001</v>
      </c>
      <c r="DE8" s="72">
        <f>Персонал!CS13</f>
        <v>1906.199636000001</v>
      </c>
      <c r="DF8" s="72">
        <f>Персонал!CT13</f>
        <v>1906.199636000001</v>
      </c>
      <c r="DG8" s="72">
        <f>Персонал!CU13</f>
        <v>1906.199636000001</v>
      </c>
      <c r="DH8" s="72">
        <f>Персонал!CV13</f>
        <v>1906.199636000001</v>
      </c>
      <c r="DI8" s="72">
        <f>Персонал!CW13</f>
        <v>2096.8195996000013</v>
      </c>
      <c r="DJ8" s="72">
        <f>Персонал!CX13</f>
        <v>2096.8195996000013</v>
      </c>
      <c r="DK8" s="72">
        <f>Персонал!CY13</f>
        <v>2096.8195996000013</v>
      </c>
      <c r="DL8" s="72">
        <f>Персонал!CZ13</f>
        <v>2096.8195996000013</v>
      </c>
      <c r="DM8" s="72">
        <f>Персонал!DA13</f>
        <v>2096.8195996000013</v>
      </c>
      <c r="DN8" s="72">
        <f>Персонал!DB13</f>
        <v>2096.8195996000013</v>
      </c>
      <c r="DO8" s="72">
        <f>Персонал!DC13</f>
        <v>2096.8195996000013</v>
      </c>
      <c r="DP8" s="72">
        <f>Персонал!DD13</f>
        <v>2096.8195996000013</v>
      </c>
      <c r="DQ8" s="72">
        <f>Персонал!DE13</f>
        <v>2096.8195996000013</v>
      </c>
      <c r="DR8" s="72">
        <f>Персонал!DF13</f>
        <v>2096.8195996000013</v>
      </c>
      <c r="DS8" s="72">
        <f>Персонал!DG13</f>
        <v>2096.8195996000013</v>
      </c>
      <c r="DT8" s="72">
        <f>Персонал!DH13</f>
        <v>2096.8195996000013</v>
      </c>
      <c r="DU8" s="72">
        <f>Персонал!DI13</f>
        <v>2306.5015595600012</v>
      </c>
      <c r="DV8" s="72">
        <f>Персонал!DJ13</f>
        <v>2306.5015595600012</v>
      </c>
      <c r="DW8" s="72">
        <f>Персонал!DK13</f>
        <v>2306.5015595600012</v>
      </c>
      <c r="DX8" s="72">
        <f>Персонал!DL13</f>
        <v>2306.5015595600012</v>
      </c>
      <c r="DY8" s="72">
        <f>Персонал!DM13</f>
        <v>2306.5015595600012</v>
      </c>
      <c r="DZ8" s="72">
        <f>Персонал!DN13</f>
        <v>2306.5015595600012</v>
      </c>
      <c r="EA8" s="72">
        <f>Персонал!DO13</f>
        <v>2306.5015595600012</v>
      </c>
      <c r="EB8" s="72">
        <f>Персонал!DP13</f>
        <v>2306.5015595600012</v>
      </c>
      <c r="EC8" s="72">
        <f>Персонал!DQ13</f>
        <v>2306.5015595600012</v>
      </c>
      <c r="ED8" s="72">
        <f>Персонал!DR13</f>
        <v>2306.5015595600012</v>
      </c>
      <c r="EE8" s="72">
        <f>Персонал!DS13</f>
        <v>2306.5015595600012</v>
      </c>
      <c r="EF8" s="72">
        <f>Персонал!DT13</f>
        <v>2306.5015595600012</v>
      </c>
    </row>
    <row r="9" spans="1:136" s="93" customFormat="1" ht="13.15" customHeight="1">
      <c r="A9" s="106"/>
      <c r="B9" s="106" t="s">
        <v>149</v>
      </c>
      <c r="C9" s="318"/>
      <c r="D9" s="107">
        <f t="shared" ref="D9:AI9" si="1">SUM(D3:D8)</f>
        <v>27605.555199946299</v>
      </c>
      <c r="E9" s="74">
        <f t="shared" si="1"/>
        <v>0</v>
      </c>
      <c r="F9" s="74">
        <f t="shared" si="1"/>
        <v>0</v>
      </c>
      <c r="G9" s="74">
        <f t="shared" si="1"/>
        <v>0</v>
      </c>
      <c r="H9" s="74">
        <f t="shared" si="1"/>
        <v>0</v>
      </c>
      <c r="I9" s="74">
        <f t="shared" si="1"/>
        <v>0</v>
      </c>
      <c r="J9" s="74">
        <f t="shared" si="1"/>
        <v>0</v>
      </c>
      <c r="K9" s="74">
        <f t="shared" si="1"/>
        <v>0</v>
      </c>
      <c r="L9" s="74">
        <f t="shared" si="1"/>
        <v>0</v>
      </c>
      <c r="M9" s="74">
        <f t="shared" si="1"/>
        <v>0</v>
      </c>
      <c r="N9" s="74">
        <f t="shared" si="1"/>
        <v>0</v>
      </c>
      <c r="O9" s="74">
        <f t="shared" si="1"/>
        <v>0</v>
      </c>
      <c r="P9" s="74">
        <f t="shared" si="1"/>
        <v>0</v>
      </c>
      <c r="Q9" s="74">
        <f t="shared" si="1"/>
        <v>0</v>
      </c>
      <c r="R9" s="74">
        <f t="shared" si="1"/>
        <v>0</v>
      </c>
      <c r="S9" s="74">
        <f t="shared" si="1"/>
        <v>0</v>
      </c>
      <c r="T9" s="74">
        <f t="shared" si="1"/>
        <v>0</v>
      </c>
      <c r="U9" s="74">
        <f t="shared" si="1"/>
        <v>0</v>
      </c>
      <c r="V9" s="74">
        <f t="shared" si="1"/>
        <v>0</v>
      </c>
      <c r="W9" s="74">
        <f t="shared" si="1"/>
        <v>0</v>
      </c>
      <c r="X9" s="74">
        <f t="shared" si="1"/>
        <v>0</v>
      </c>
      <c r="Y9" s="74">
        <f t="shared" si="1"/>
        <v>0</v>
      </c>
      <c r="Z9" s="74">
        <f t="shared" si="1"/>
        <v>0</v>
      </c>
      <c r="AA9" s="74">
        <f t="shared" si="1"/>
        <v>555</v>
      </c>
      <c r="AB9" s="74">
        <f t="shared" si="1"/>
        <v>2559.9400500000002</v>
      </c>
      <c r="AC9" s="74">
        <f t="shared" si="1"/>
        <v>1875.9016799999999</v>
      </c>
      <c r="AD9" s="74">
        <f t="shared" si="1"/>
        <v>3951.6043199999999</v>
      </c>
      <c r="AE9" s="74">
        <f t="shared" si="1"/>
        <v>9046.5108</v>
      </c>
      <c r="AF9" s="74">
        <f t="shared" si="1"/>
        <v>15415.143899999999</v>
      </c>
      <c r="AG9" s="74">
        <f t="shared" si="1"/>
        <v>15651.019199999999</v>
      </c>
      <c r="AH9" s="74">
        <f t="shared" si="1"/>
        <v>18670.223040000001</v>
      </c>
      <c r="AI9" s="74">
        <f t="shared" si="1"/>
        <v>21689.426880000003</v>
      </c>
      <c r="AJ9" s="74">
        <f t="shared" ref="AJ9:BO9" si="2">SUM(AJ3:AJ8)</f>
        <v>26595.633119999999</v>
      </c>
      <c r="AK9" s="74">
        <f t="shared" si="2"/>
        <v>32256.640320000002</v>
      </c>
      <c r="AL9" s="74">
        <f t="shared" si="2"/>
        <v>36785.446080000002</v>
      </c>
      <c r="AM9" s="74">
        <f t="shared" si="2"/>
        <v>38295.047999999995</v>
      </c>
      <c r="AN9" s="74">
        <f t="shared" si="2"/>
        <v>9095.7602000000006</v>
      </c>
      <c r="AO9" s="74">
        <f t="shared" si="2"/>
        <v>5070.824944</v>
      </c>
      <c r="AP9" s="74">
        <f t="shared" si="2"/>
        <v>8958.0498879999996</v>
      </c>
      <c r="AQ9" s="74">
        <f t="shared" si="2"/>
        <v>15760.69354</v>
      </c>
      <c r="AR9" s="74">
        <f t="shared" si="2"/>
        <v>21591.530955999999</v>
      </c>
      <c r="AS9" s="74">
        <f t="shared" si="2"/>
        <v>20619.724719999998</v>
      </c>
      <c r="AT9" s="74">
        <f t="shared" si="2"/>
        <v>24506.949664</v>
      </c>
      <c r="AU9" s="74">
        <f t="shared" si="2"/>
        <v>28394.174608000005</v>
      </c>
      <c r="AV9" s="74">
        <f t="shared" si="2"/>
        <v>34710.915141999998</v>
      </c>
      <c r="AW9" s="74">
        <f t="shared" si="2"/>
        <v>41999.461911999999</v>
      </c>
      <c r="AX9" s="74">
        <f t="shared" si="2"/>
        <v>47830.299328000001</v>
      </c>
      <c r="AY9" s="74">
        <f t="shared" si="2"/>
        <v>49773.911800000002</v>
      </c>
      <c r="AZ9" s="74">
        <f t="shared" si="2"/>
        <v>9443.9530060000016</v>
      </c>
      <c r="BA9" s="74">
        <f t="shared" si="2"/>
        <v>5305.8016923200012</v>
      </c>
      <c r="BB9" s="74">
        <f t="shared" si="2"/>
        <v>9309.6433846400014</v>
      </c>
      <c r="BC9" s="74">
        <f t="shared" si="2"/>
        <v>16316.366346200002</v>
      </c>
      <c r="BD9" s="74">
        <f t="shared" si="2"/>
        <v>22322.128884679998</v>
      </c>
      <c r="BE9" s="74">
        <f t="shared" si="2"/>
        <v>21321.168461599998</v>
      </c>
      <c r="BF9" s="74">
        <f t="shared" si="2"/>
        <v>25325.01015392</v>
      </c>
      <c r="BG9" s="74">
        <f t="shared" si="2"/>
        <v>29328.851846240002</v>
      </c>
      <c r="BH9" s="74">
        <f t="shared" si="2"/>
        <v>35835.094596259994</v>
      </c>
      <c r="BI9" s="74">
        <f t="shared" si="2"/>
        <v>43342.297769359997</v>
      </c>
      <c r="BJ9" s="74">
        <f t="shared" si="2"/>
        <v>49348.060307840002</v>
      </c>
      <c r="BK9" s="74">
        <f t="shared" si="2"/>
        <v>51349.981154000001</v>
      </c>
      <c r="BL9" s="74">
        <f t="shared" si="2"/>
        <v>9810.123596180003</v>
      </c>
      <c r="BM9" s="74">
        <f t="shared" si="2"/>
        <v>5556.1129430895999</v>
      </c>
      <c r="BN9" s="74">
        <f t="shared" si="2"/>
        <v>9680.0698861792007</v>
      </c>
      <c r="BO9" s="74">
        <f t="shared" si="2"/>
        <v>16896.994536586</v>
      </c>
      <c r="BP9" s="74">
        <f t="shared" ref="BP9:CU9" si="3">SUM(BP3:BP8)</f>
        <v>23082.929951220398</v>
      </c>
      <c r="BQ9" s="74">
        <f t="shared" si="3"/>
        <v>22051.940715448003</v>
      </c>
      <c r="BR9" s="74">
        <f t="shared" si="3"/>
        <v>26175.897658537604</v>
      </c>
      <c r="BS9" s="74">
        <f t="shared" si="3"/>
        <v>30299.854601627208</v>
      </c>
      <c r="BT9" s="74">
        <f t="shared" si="3"/>
        <v>37001.284634147814</v>
      </c>
      <c r="BU9" s="74">
        <f t="shared" si="3"/>
        <v>44733.7039024408</v>
      </c>
      <c r="BV9" s="74">
        <f t="shared" si="3"/>
        <v>50919.639317075213</v>
      </c>
      <c r="BW9" s="74">
        <f t="shared" si="3"/>
        <v>52981.617788620002</v>
      </c>
      <c r="BX9" s="74">
        <f t="shared" si="3"/>
        <v>10195.564504065404</v>
      </c>
      <c r="BY9" s="74">
        <f t="shared" si="3"/>
        <v>5823.0472513822888</v>
      </c>
      <c r="BZ9" s="74">
        <f t="shared" si="3"/>
        <v>10070.722902764577</v>
      </c>
      <c r="CA9" s="74">
        <f t="shared" si="3"/>
        <v>17504.155292683583</v>
      </c>
      <c r="CB9" s="74">
        <f t="shared" si="3"/>
        <v>23875.668769757016</v>
      </c>
      <c r="CC9" s="74">
        <f t="shared" si="3"/>
        <v>22813.749856911447</v>
      </c>
      <c r="CD9" s="74">
        <f t="shared" si="3"/>
        <v>27061.425508293731</v>
      </c>
      <c r="CE9" s="74">
        <f t="shared" si="3"/>
        <v>31309.101159676029</v>
      </c>
      <c r="CF9" s="74">
        <f t="shared" si="3"/>
        <v>38211.574093172239</v>
      </c>
      <c r="CG9" s="74">
        <f t="shared" si="3"/>
        <v>46175.965939514026</v>
      </c>
      <c r="CH9" s="74">
        <f t="shared" si="3"/>
        <v>52547.479416587463</v>
      </c>
      <c r="CI9" s="74">
        <f t="shared" si="3"/>
        <v>54671.317242278608</v>
      </c>
      <c r="CJ9" s="74">
        <f t="shared" si="3"/>
        <v>10601.682359187365</v>
      </c>
      <c r="CK9" s="74">
        <f t="shared" si="3"/>
        <v>6108.0146809237576</v>
      </c>
      <c r="CL9" s="74">
        <f t="shared" si="3"/>
        <v>10483.120601847515</v>
      </c>
      <c r="CM9" s="74">
        <f t="shared" si="3"/>
        <v>18139.555963464089</v>
      </c>
      <c r="CN9" s="74">
        <f t="shared" si="3"/>
        <v>24702.214844849725</v>
      </c>
      <c r="CO9" s="74">
        <f t="shared" si="3"/>
        <v>23608.438364618793</v>
      </c>
      <c r="CP9" s="74">
        <f t="shared" si="3"/>
        <v>27983.54428554255</v>
      </c>
      <c r="CQ9" s="74">
        <f t="shared" si="3"/>
        <v>32358.650206466307</v>
      </c>
      <c r="CR9" s="74">
        <f t="shared" si="3"/>
        <v>39468.197327967406</v>
      </c>
      <c r="CS9" s="74">
        <f t="shared" si="3"/>
        <v>47671.520929699451</v>
      </c>
      <c r="CT9" s="74">
        <f t="shared" si="3"/>
        <v>54234.179811085094</v>
      </c>
      <c r="CU9" s="74">
        <f t="shared" si="3"/>
        <v>56421.732771546973</v>
      </c>
      <c r="CV9" s="74">
        <f t="shared" ref="CV9:EA9" si="4">SUM(CV3:CV8)</f>
        <v>11030.008841962986</v>
      </c>
      <c r="CW9" s="74">
        <f t="shared" si="4"/>
        <v>6412.5587345514714</v>
      </c>
      <c r="CX9" s="74">
        <f t="shared" si="4"/>
        <v>10918.917833102942</v>
      </c>
      <c r="CY9" s="74">
        <f t="shared" si="4"/>
        <v>18805.046255568017</v>
      </c>
      <c r="CZ9" s="74">
        <f t="shared" si="4"/>
        <v>25564.584903395222</v>
      </c>
      <c r="DA9" s="74">
        <f t="shared" si="4"/>
        <v>24437.995128757357</v>
      </c>
      <c r="DB9" s="74">
        <f t="shared" si="4"/>
        <v>28944.354227308824</v>
      </c>
      <c r="DC9" s="74">
        <f t="shared" si="4"/>
        <v>33450.713325860292</v>
      </c>
      <c r="DD9" s="74">
        <f t="shared" si="4"/>
        <v>40773.546861006427</v>
      </c>
      <c r="DE9" s="74">
        <f t="shared" si="4"/>
        <v>49222.970170790439</v>
      </c>
      <c r="DF9" s="74">
        <f t="shared" si="4"/>
        <v>55982.508818617644</v>
      </c>
      <c r="DG9" s="74">
        <f t="shared" si="4"/>
        <v>58235.688367893381</v>
      </c>
      <c r="DH9" s="74">
        <f t="shared" si="4"/>
        <v>11482.212720421876</v>
      </c>
      <c r="DI9" s="74">
        <f t="shared" si="4"/>
        <v>6738.3694711080152</v>
      </c>
      <c r="DJ9" s="74">
        <f t="shared" si="4"/>
        <v>11379.919342616029</v>
      </c>
      <c r="DK9" s="74">
        <f t="shared" si="4"/>
        <v>19502.631617755054</v>
      </c>
      <c r="DL9" s="74">
        <f t="shared" si="4"/>
        <v>26464.956425017081</v>
      </c>
      <c r="DM9" s="74">
        <f t="shared" si="4"/>
        <v>25304.568957140073</v>
      </c>
      <c r="DN9" s="74">
        <f t="shared" si="4"/>
        <v>29946.11882864809</v>
      </c>
      <c r="DO9" s="74">
        <f t="shared" si="4"/>
        <v>34587.668700156108</v>
      </c>
      <c r="DP9" s="74">
        <f t="shared" si="4"/>
        <v>42130.187241356623</v>
      </c>
      <c r="DQ9" s="74">
        <f t="shared" si="4"/>
        <v>50833.093250434154</v>
      </c>
      <c r="DR9" s="74">
        <f t="shared" si="4"/>
        <v>57795.418057696181</v>
      </c>
      <c r="DS9" s="74">
        <f t="shared" si="4"/>
        <v>60116.192993450182</v>
      </c>
      <c r="DT9" s="74">
        <f t="shared" si="4"/>
        <v>11960.113076554533</v>
      </c>
      <c r="DU9" s="74">
        <f t="shared" si="4"/>
        <v>7087.2979272132561</v>
      </c>
      <c r="DV9" s="74">
        <f t="shared" si="4"/>
        <v>11868.094294866512</v>
      </c>
      <c r="DW9" s="74">
        <f t="shared" si="4"/>
        <v>20234.487938259706</v>
      </c>
      <c r="DX9" s="74">
        <f t="shared" si="4"/>
        <v>27405.682489739593</v>
      </c>
      <c r="DY9" s="74">
        <f t="shared" si="4"/>
        <v>26210.48339782628</v>
      </c>
      <c r="DZ9" s="74">
        <f t="shared" si="4"/>
        <v>30991.279765479536</v>
      </c>
      <c r="EA9" s="74">
        <f t="shared" si="4"/>
        <v>35772.076133132789</v>
      </c>
      <c r="EB9" s="74">
        <f t="shared" ref="EB9:EF9" si="5">SUM(EB3:EB8)</f>
        <v>43540.870230569322</v>
      </c>
      <c r="EC9" s="74">
        <f t="shared" si="5"/>
        <v>52504.86341991918</v>
      </c>
      <c r="ED9" s="74">
        <f t="shared" si="5"/>
        <v>59676.057971399066</v>
      </c>
      <c r="EE9" s="74">
        <f t="shared" si="5"/>
        <v>62066.456155225693</v>
      </c>
      <c r="EF9" s="74">
        <f t="shared" si="5"/>
        <v>12465.693840823169</v>
      </c>
    </row>
    <row r="10" spans="1:136" ht="13.15" customHeight="1"/>
    <row r="11" spans="1:136" ht="13.15" customHeight="1"/>
    <row r="12" spans="1:136">
      <c r="N12" s="316"/>
      <c r="O12" s="316"/>
      <c r="P12" s="316"/>
      <c r="Q12" s="316"/>
      <c r="R12" s="316"/>
    </row>
    <row r="13" spans="1:136">
      <c r="A13" s="94" t="s">
        <v>18</v>
      </c>
      <c r="B13" s="94" t="s">
        <v>164</v>
      </c>
      <c r="C13" s="124">
        <v>2022</v>
      </c>
      <c r="D13" s="124">
        <v>2023</v>
      </c>
      <c r="E13" s="124">
        <v>2024</v>
      </c>
      <c r="F13" s="124">
        <v>2025</v>
      </c>
      <c r="G13" s="124">
        <v>2026</v>
      </c>
      <c r="H13" s="124">
        <v>2027</v>
      </c>
      <c r="I13" s="124">
        <v>2028</v>
      </c>
      <c r="J13" s="124">
        <v>2029</v>
      </c>
      <c r="K13" s="124">
        <v>2030</v>
      </c>
      <c r="L13" s="124">
        <v>2031</v>
      </c>
      <c r="M13" s="124">
        <v>2032</v>
      </c>
      <c r="N13" s="316"/>
      <c r="O13" s="316"/>
      <c r="P13" s="316"/>
      <c r="Q13" s="316"/>
      <c r="R13" s="316"/>
    </row>
    <row r="14" spans="1:136" s="316" customFormat="1" ht="25.5">
      <c r="A14" s="221" t="s">
        <v>28</v>
      </c>
      <c r="B14" s="359" t="str">
        <f>B3</f>
        <v>Себестоимость НФС с облицовкой кирпичной кладкой</v>
      </c>
      <c r="C14" s="72">
        <f>SUM(E3:P3)</f>
        <v>0</v>
      </c>
      <c r="D14" s="72">
        <f t="shared" ref="D14:D20" si="6">SUM(Q3:AB3)</f>
        <v>150.06580000000002</v>
      </c>
      <c r="E14" s="72">
        <f t="shared" ref="E14:E20" si="7">SUM(AC3:AN3)</f>
        <v>16627.290639999999</v>
      </c>
      <c r="F14" s="72">
        <f t="shared" ref="F14:F20" si="8">SUM(AO3:AZ3)</f>
        <v>22039.546127999998</v>
      </c>
      <c r="G14" s="72">
        <f t="shared" ref="G14:G20" si="9">SUM(BA3:BL3)</f>
        <v>22700.732511840004</v>
      </c>
      <c r="H14" s="72">
        <f t="shared" ref="H14:H20" si="10">SUM(BM3:BX3)</f>
        <v>23381.754487195201</v>
      </c>
      <c r="I14" s="72">
        <f t="shared" ref="I14:I20" si="11">SUM(BY3:CJ3)</f>
        <v>24083.207121811061</v>
      </c>
      <c r="J14" s="72">
        <f t="shared" ref="J14:J20" si="12">SUM(CK3:CV3)</f>
        <v>24805.70333546539</v>
      </c>
      <c r="K14" s="72">
        <f t="shared" ref="K14:K20" si="13">SUM(CW3:DH3)</f>
        <v>25549.874435529353</v>
      </c>
      <c r="L14" s="72">
        <f t="shared" ref="L14:L20" si="14">SUM(DI3:DT3)</f>
        <v>26316.370668595231</v>
      </c>
      <c r="M14" s="72">
        <f t="shared" ref="M14:M20" si="15">SUM(DU3:EF3)</f>
        <v>27105.861788653088</v>
      </c>
      <c r="Y14" s="97"/>
      <c r="Z14" s="97"/>
    </row>
    <row r="15" spans="1:136" s="316" customFormat="1">
      <c r="A15" s="221" t="s">
        <v>88</v>
      </c>
      <c r="B15" s="359" t="str">
        <f t="shared" ref="B15:B18" si="16">B4</f>
        <v>Себестоимость НФС с облицовкой СФБ</v>
      </c>
      <c r="C15" s="72">
        <f>SUM(E4:P4)</f>
        <v>0</v>
      </c>
      <c r="D15" s="72">
        <f t="shared" si="6"/>
        <v>711.56475</v>
      </c>
      <c r="E15" s="72">
        <f t="shared" si="7"/>
        <v>78841.37430000001</v>
      </c>
      <c r="F15" s="72">
        <f t="shared" si="8"/>
        <v>104504.58486000002</v>
      </c>
      <c r="G15" s="72">
        <f t="shared" si="9"/>
        <v>107639.72240580001</v>
      </c>
      <c r="H15" s="72">
        <f t="shared" si="10"/>
        <v>110868.91407797401</v>
      </c>
      <c r="I15" s="72">
        <f t="shared" si="11"/>
        <v>114194.98150031324</v>
      </c>
      <c r="J15" s="72">
        <f t="shared" si="12"/>
        <v>117620.83094532262</v>
      </c>
      <c r="K15" s="72">
        <f t="shared" si="13"/>
        <v>121149.45587368232</v>
      </c>
      <c r="L15" s="72">
        <f t="shared" si="14"/>
        <v>124783.93954989279</v>
      </c>
      <c r="M15" s="72">
        <f t="shared" si="15"/>
        <v>128527.4577363896</v>
      </c>
      <c r="Y15" s="97"/>
      <c r="Z15" s="97"/>
    </row>
    <row r="16" spans="1:136" s="316" customFormat="1" ht="25.5">
      <c r="A16" s="221" t="s">
        <v>25</v>
      </c>
      <c r="B16" s="359" t="str">
        <f t="shared" si="16"/>
        <v>Себестоимость НФС с облицовкой натуральным камнем</v>
      </c>
      <c r="C16" s="72">
        <f>SUM(E5:P5)</f>
        <v>0</v>
      </c>
      <c r="D16" s="72">
        <f t="shared" si="6"/>
        <v>725.47500000000014</v>
      </c>
      <c r="E16" s="72">
        <f t="shared" si="7"/>
        <v>80382.63</v>
      </c>
      <c r="F16" s="72">
        <f t="shared" si="8"/>
        <v>106547.52600000003</v>
      </c>
      <c r="G16" s="72">
        <f t="shared" si="9"/>
        <v>109743.95178000002</v>
      </c>
      <c r="H16" s="72">
        <f t="shared" si="10"/>
        <v>113036.2703334</v>
      </c>
      <c r="I16" s="72">
        <f t="shared" si="11"/>
        <v>116427.35844340203</v>
      </c>
      <c r="J16" s="72">
        <f t="shared" si="12"/>
        <v>119920.17919670409</v>
      </c>
      <c r="K16" s="72">
        <f t="shared" si="13"/>
        <v>123517.78457260522</v>
      </c>
      <c r="L16" s="72">
        <f t="shared" si="14"/>
        <v>127223.31810978339</v>
      </c>
      <c r="M16" s="72">
        <f t="shared" si="15"/>
        <v>131040.01765307691</v>
      </c>
      <c r="Y16" s="97"/>
      <c r="Z16" s="97"/>
    </row>
    <row r="17" spans="1:26" s="316" customFormat="1" ht="25.5">
      <c r="A17" s="221" t="s">
        <v>192</v>
      </c>
      <c r="B17" s="359" t="str">
        <f t="shared" si="16"/>
        <v>Себестоимость НФС с облицовкой клинкерной плиткой</v>
      </c>
      <c r="C17" s="72">
        <f>SUM(E6:P6)</f>
        <v>0</v>
      </c>
      <c r="D17" s="72">
        <f t="shared" si="6"/>
        <v>280.03250000000003</v>
      </c>
      <c r="E17" s="72">
        <f t="shared" si="7"/>
        <v>31027.601000000002</v>
      </c>
      <c r="F17" s="72">
        <f t="shared" si="8"/>
        <v>41127.220200000003</v>
      </c>
      <c r="G17" s="72">
        <f t="shared" si="9"/>
        <v>42361.036806000004</v>
      </c>
      <c r="H17" s="72">
        <f t="shared" si="10"/>
        <v>43631.867910180001</v>
      </c>
      <c r="I17" s="72">
        <f t="shared" si="11"/>
        <v>44940.823947485405</v>
      </c>
      <c r="J17" s="72">
        <f t="shared" si="12"/>
        <v>46289.048665909977</v>
      </c>
      <c r="K17" s="72">
        <f t="shared" si="13"/>
        <v>47677.720125887266</v>
      </c>
      <c r="L17" s="72">
        <f t="shared" si="14"/>
        <v>49108.051729663894</v>
      </c>
      <c r="M17" s="72">
        <f t="shared" si="15"/>
        <v>50581.293281553808</v>
      </c>
      <c r="Y17" s="97"/>
      <c r="Z17" s="97"/>
    </row>
    <row r="18" spans="1:26" s="316" customFormat="1" ht="25.5">
      <c r="A18" s="221" t="s">
        <v>205</v>
      </c>
      <c r="B18" s="359" t="str">
        <f t="shared" si="16"/>
        <v>Себестоимость НФС с облицовкой керамогранитом</v>
      </c>
      <c r="C18" s="72">
        <f>SUM(E7:P7)</f>
        <v>0</v>
      </c>
      <c r="D18" s="72">
        <f t="shared" si="6"/>
        <v>137.80200000000002</v>
      </c>
      <c r="E18" s="72">
        <f t="shared" si="7"/>
        <v>15268.461599999999</v>
      </c>
      <c r="F18" s="72">
        <f t="shared" si="8"/>
        <v>20238.412319999999</v>
      </c>
      <c r="G18" s="72">
        <f t="shared" si="9"/>
        <v>20845.5646896</v>
      </c>
      <c r="H18" s="72">
        <f t="shared" si="10"/>
        <v>21470.931630288</v>
      </c>
      <c r="I18" s="72">
        <f t="shared" si="11"/>
        <v>22115.059579196644</v>
      </c>
      <c r="J18" s="72">
        <f t="shared" si="12"/>
        <v>22778.511366572544</v>
      </c>
      <c r="K18" s="72">
        <f t="shared" si="13"/>
        <v>23461.866707569719</v>
      </c>
      <c r="L18" s="72">
        <f t="shared" si="14"/>
        <v>24165.722708796806</v>
      </c>
      <c r="M18" s="72">
        <f t="shared" si="15"/>
        <v>24890.694390060715</v>
      </c>
      <c r="Y18" s="97"/>
      <c r="Z18" s="97"/>
    </row>
    <row r="19" spans="1:26" s="316" customFormat="1">
      <c r="A19" s="221" t="s">
        <v>507</v>
      </c>
      <c r="B19" s="359" t="str">
        <f t="shared" ref="B19" si="17">B8</f>
        <v>Производственный персонал</v>
      </c>
      <c r="C19" s="72">
        <f t="shared" ref="C19" si="18">SUM(E8:P8)</f>
        <v>0</v>
      </c>
      <c r="D19" s="72">
        <f t="shared" si="6"/>
        <v>1110</v>
      </c>
      <c r="E19" s="72">
        <f t="shared" si="7"/>
        <v>7181</v>
      </c>
      <c r="F19" s="72">
        <f t="shared" si="8"/>
        <v>14203.200000000003</v>
      </c>
      <c r="G19" s="72">
        <f t="shared" si="9"/>
        <v>15623.520000000006</v>
      </c>
      <c r="H19" s="72">
        <f t="shared" si="10"/>
        <v>17185.872000000007</v>
      </c>
      <c r="I19" s="72">
        <f t="shared" si="11"/>
        <v>18904.459200000005</v>
      </c>
      <c r="J19" s="72">
        <f t="shared" si="12"/>
        <v>20794.905120000003</v>
      </c>
      <c r="K19" s="72">
        <f t="shared" si="13"/>
        <v>22874.395632000011</v>
      </c>
      <c r="L19" s="72">
        <f t="shared" si="14"/>
        <v>25161.835195200008</v>
      </c>
      <c r="M19" s="72">
        <f t="shared" si="15"/>
        <v>27678.018714720016</v>
      </c>
      <c r="Y19" s="97"/>
      <c r="Z19" s="97"/>
    </row>
    <row r="20" spans="1:26">
      <c r="A20" s="106"/>
      <c r="B20" s="106" t="s">
        <v>8</v>
      </c>
      <c r="C20" s="74">
        <f>SUM(E9:P9)</f>
        <v>0</v>
      </c>
      <c r="D20" s="74">
        <f t="shared" si="6"/>
        <v>3114.9400500000002</v>
      </c>
      <c r="E20" s="74">
        <f t="shared" si="7"/>
        <v>229328.35753999997</v>
      </c>
      <c r="F20" s="74">
        <f t="shared" si="8"/>
        <v>308660.48950799997</v>
      </c>
      <c r="G20" s="74">
        <f t="shared" si="9"/>
        <v>318914.52819324</v>
      </c>
      <c r="H20" s="74">
        <f t="shared" si="10"/>
        <v>329575.61043903721</v>
      </c>
      <c r="I20" s="74">
        <f t="shared" si="11"/>
        <v>340665.88979220833</v>
      </c>
      <c r="J20" s="74">
        <f t="shared" si="12"/>
        <v>352209.17862997466</v>
      </c>
      <c r="K20" s="74">
        <f t="shared" si="13"/>
        <v>364231.09734727396</v>
      </c>
      <c r="L20" s="74">
        <f t="shared" si="14"/>
        <v>376759.23796193214</v>
      </c>
      <c r="M20" s="74">
        <f t="shared" si="15"/>
        <v>389823.34356445412</v>
      </c>
      <c r="N20" s="316"/>
      <c r="O20" s="316"/>
      <c r="P20" s="316"/>
      <c r="Q20" s="316"/>
      <c r="R20" s="316"/>
    </row>
    <row r="21" spans="1:26">
      <c r="N21" s="316"/>
      <c r="O21" s="316"/>
      <c r="P21" s="316"/>
      <c r="Q21" s="316"/>
      <c r="R21" s="316"/>
    </row>
    <row r="22" spans="1:26">
      <c r="N22" s="316"/>
      <c r="O22" s="316"/>
      <c r="P22" s="316"/>
      <c r="Q22" s="316"/>
      <c r="R22" s="316"/>
    </row>
  </sheetData>
  <mergeCells count="11">
    <mergeCell ref="BM1:BX1"/>
    <mergeCell ref="CW1:DH1"/>
    <mergeCell ref="DI1:DT1"/>
    <mergeCell ref="DU1:EF1"/>
    <mergeCell ref="BY1:CJ1"/>
    <mergeCell ref="CK1:CV1"/>
    <mergeCell ref="Q1:AB1"/>
    <mergeCell ref="AC1:AN1"/>
    <mergeCell ref="BA1:BL1"/>
    <mergeCell ref="AO1:AZ1"/>
    <mergeCell ref="E1:P1"/>
  </mergeCells>
  <conditionalFormatting sqref="B15">
    <cfRule type="duplicateValues" dxfId="12" priority="19" stopIfTrue="1"/>
  </conditionalFormatting>
  <conditionalFormatting sqref="B16">
    <cfRule type="duplicateValues" dxfId="11" priority="18" stopIfTrue="1"/>
  </conditionalFormatting>
  <conditionalFormatting sqref="B19">
    <cfRule type="duplicateValues" dxfId="10" priority="16" stopIfTrue="1"/>
  </conditionalFormatting>
  <conditionalFormatting sqref="B3:B8">
    <cfRule type="duplicateValues" dxfId="9" priority="141" stopIfTrue="1"/>
  </conditionalFormatting>
  <conditionalFormatting sqref="B3:B7">
    <cfRule type="duplicateValues" dxfId="8" priority="143" stopIfTrue="1"/>
  </conditionalFormatting>
  <conditionalFormatting sqref="B17:B18">
    <cfRule type="duplicateValues" dxfId="7" priority="146" stopIfTrue="1"/>
  </conditionalFormatting>
  <conditionalFormatting sqref="B14:B19">
    <cfRule type="duplicateValues" dxfId="6" priority="147" stopIfTrue="1"/>
  </conditionalFormatting>
  <pageMargins left="0.25" right="0.25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GL34"/>
  <sheetViews>
    <sheetView zoomScale="80" zoomScaleNormal="80" workbookViewId="0">
      <pane xSplit="4" ySplit="2" topLeftCell="P3" activePane="bottomRight" state="frozen"/>
      <selection pane="topRight" activeCell="F1" sqref="F1"/>
      <selection pane="bottomLeft" activeCell="A3" sqref="A3"/>
      <selection pane="bottomRight" activeCell="U29" sqref="U29"/>
    </sheetView>
  </sheetViews>
  <sheetFormatPr defaultColWidth="9.140625" defaultRowHeight="12.75"/>
  <cols>
    <col min="1" max="1" width="5.5703125" style="84" customWidth="1"/>
    <col min="2" max="2" width="34.28515625" style="84" customWidth="1"/>
    <col min="3" max="3" width="14.85546875" style="84" customWidth="1"/>
    <col min="4" max="4" width="15.28515625" style="84" customWidth="1"/>
    <col min="5" max="28" width="8.7109375" style="84" customWidth="1"/>
    <col min="29" max="52" width="8.85546875" style="84" customWidth="1"/>
    <col min="53" max="16384" width="9.140625" style="84"/>
  </cols>
  <sheetData>
    <row r="1" spans="1:193" ht="18" customHeight="1">
      <c r="B1" s="91" t="s">
        <v>167</v>
      </c>
      <c r="C1" s="92"/>
      <c r="E1" s="442">
        <f>ДДС!C2</f>
        <v>2022</v>
      </c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4"/>
      <c r="Q1" s="442">
        <f>ДДС!O2</f>
        <v>2023</v>
      </c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4"/>
      <c r="AC1" s="442">
        <f>ДДС!AA2</f>
        <v>2024</v>
      </c>
      <c r="AD1" s="443"/>
      <c r="AE1" s="443"/>
      <c r="AF1" s="443"/>
      <c r="AG1" s="443"/>
      <c r="AH1" s="443"/>
      <c r="AI1" s="443"/>
      <c r="AJ1" s="443"/>
      <c r="AK1" s="443"/>
      <c r="AL1" s="443"/>
      <c r="AM1" s="443"/>
      <c r="AN1" s="444"/>
      <c r="AO1" s="442">
        <f>ДДС!AM2</f>
        <v>2025</v>
      </c>
      <c r="AP1" s="443"/>
      <c r="AQ1" s="443"/>
      <c r="AR1" s="443"/>
      <c r="AS1" s="443"/>
      <c r="AT1" s="443"/>
      <c r="AU1" s="443"/>
      <c r="AV1" s="443"/>
      <c r="AW1" s="443"/>
      <c r="AX1" s="443"/>
      <c r="AY1" s="443"/>
      <c r="AZ1" s="444"/>
      <c r="BA1" s="442">
        <f>ДДС!AY2</f>
        <v>2026</v>
      </c>
      <c r="BB1" s="443"/>
      <c r="BC1" s="443"/>
      <c r="BD1" s="443"/>
      <c r="BE1" s="443"/>
      <c r="BF1" s="443"/>
      <c r="BG1" s="443"/>
      <c r="BH1" s="443"/>
      <c r="BI1" s="443"/>
      <c r="BJ1" s="443"/>
      <c r="BK1" s="443"/>
      <c r="BL1" s="444"/>
      <c r="BM1" s="442">
        <f>ДДС!BK2</f>
        <v>2027</v>
      </c>
      <c r="BN1" s="443"/>
      <c r="BO1" s="443"/>
      <c r="BP1" s="443"/>
      <c r="BQ1" s="443"/>
      <c r="BR1" s="443"/>
      <c r="BS1" s="443"/>
      <c r="BT1" s="443"/>
      <c r="BU1" s="443"/>
      <c r="BV1" s="443"/>
      <c r="BW1" s="443"/>
      <c r="BX1" s="444"/>
      <c r="BY1" s="442">
        <f>ДДС!BW2</f>
        <v>2028</v>
      </c>
      <c r="BZ1" s="443"/>
      <c r="CA1" s="443"/>
      <c r="CB1" s="443"/>
      <c r="CC1" s="443"/>
      <c r="CD1" s="443"/>
      <c r="CE1" s="443"/>
      <c r="CF1" s="443"/>
      <c r="CG1" s="443"/>
      <c r="CH1" s="443"/>
      <c r="CI1" s="443"/>
      <c r="CJ1" s="444"/>
      <c r="CK1" s="442">
        <f>ДДС!CI2</f>
        <v>2029</v>
      </c>
      <c r="CL1" s="443"/>
      <c r="CM1" s="443"/>
      <c r="CN1" s="443"/>
      <c r="CO1" s="443"/>
      <c r="CP1" s="443"/>
      <c r="CQ1" s="443"/>
      <c r="CR1" s="443"/>
      <c r="CS1" s="443"/>
      <c r="CT1" s="443"/>
      <c r="CU1" s="443"/>
      <c r="CV1" s="444"/>
      <c r="CW1" s="442">
        <f>ДДС!CU2</f>
        <v>2030</v>
      </c>
      <c r="CX1" s="443"/>
      <c r="CY1" s="443"/>
      <c r="CZ1" s="443"/>
      <c r="DA1" s="443"/>
      <c r="DB1" s="443"/>
      <c r="DC1" s="443"/>
      <c r="DD1" s="443"/>
      <c r="DE1" s="443"/>
      <c r="DF1" s="443"/>
      <c r="DG1" s="443"/>
      <c r="DH1" s="444"/>
      <c r="DI1" s="442">
        <f>ДДС!DG2</f>
        <v>2031</v>
      </c>
      <c r="DJ1" s="443"/>
      <c r="DK1" s="443"/>
      <c r="DL1" s="443"/>
      <c r="DM1" s="443"/>
      <c r="DN1" s="443"/>
      <c r="DO1" s="443"/>
      <c r="DP1" s="443"/>
      <c r="DQ1" s="443"/>
      <c r="DR1" s="443"/>
      <c r="DS1" s="443"/>
      <c r="DT1" s="444"/>
      <c r="DU1" s="442">
        <f>ДДС!DS2</f>
        <v>2032</v>
      </c>
      <c r="DV1" s="443"/>
      <c r="DW1" s="443"/>
      <c r="DX1" s="443"/>
      <c r="DY1" s="443"/>
      <c r="DZ1" s="443"/>
      <c r="EA1" s="443"/>
      <c r="EB1" s="443"/>
      <c r="EC1" s="443"/>
      <c r="ED1" s="443"/>
      <c r="EE1" s="443"/>
      <c r="EF1" s="444"/>
    </row>
    <row r="2" spans="1:193" ht="28.15" customHeight="1">
      <c r="A2" s="94" t="s">
        <v>18</v>
      </c>
      <c r="B2" s="94" t="s">
        <v>126</v>
      </c>
      <c r="C2" s="94" t="s">
        <v>127</v>
      </c>
      <c r="D2" s="95" t="s">
        <v>166</v>
      </c>
      <c r="E2" s="87">
        <f>ДДС!C3</f>
        <v>44592</v>
      </c>
      <c r="F2" s="87">
        <f>ДДС!D3</f>
        <v>44620</v>
      </c>
      <c r="G2" s="87">
        <f>ДДС!E3</f>
        <v>44651</v>
      </c>
      <c r="H2" s="87">
        <f>ДДС!F3</f>
        <v>44681</v>
      </c>
      <c r="I2" s="87">
        <f>ДДС!G3</f>
        <v>44712</v>
      </c>
      <c r="J2" s="87">
        <f>ДДС!H3</f>
        <v>44742</v>
      </c>
      <c r="K2" s="87">
        <f>ДДС!I3</f>
        <v>44773</v>
      </c>
      <c r="L2" s="87">
        <f>ДДС!J3</f>
        <v>44804</v>
      </c>
      <c r="M2" s="87">
        <f>ДДС!K3</f>
        <v>44834</v>
      </c>
      <c r="N2" s="87">
        <f>ДДС!L3</f>
        <v>44865</v>
      </c>
      <c r="O2" s="87">
        <f>ДДС!M3</f>
        <v>44895</v>
      </c>
      <c r="P2" s="87">
        <f>ДДС!N3</f>
        <v>44926</v>
      </c>
      <c r="Q2" s="87">
        <f>ДДС!O3</f>
        <v>44957</v>
      </c>
      <c r="R2" s="87">
        <f>ДДС!P3</f>
        <v>44985</v>
      </c>
      <c r="S2" s="87">
        <f>ДДС!Q3</f>
        <v>45016</v>
      </c>
      <c r="T2" s="87">
        <f>ДДС!R3</f>
        <v>45046</v>
      </c>
      <c r="U2" s="87">
        <f>ДДС!S3</f>
        <v>45077</v>
      </c>
      <c r="V2" s="87">
        <f>ДДС!T3</f>
        <v>45107</v>
      </c>
      <c r="W2" s="87">
        <f>ДДС!U3</f>
        <v>45138</v>
      </c>
      <c r="X2" s="87">
        <f>ДДС!V3</f>
        <v>45169</v>
      </c>
      <c r="Y2" s="87">
        <f>ДДС!W3</f>
        <v>45199</v>
      </c>
      <c r="Z2" s="87">
        <f>ДДС!X3</f>
        <v>45230</v>
      </c>
      <c r="AA2" s="87">
        <f>ДДС!Y3</f>
        <v>45260</v>
      </c>
      <c r="AB2" s="87">
        <f>ДДС!Z3</f>
        <v>45291</v>
      </c>
      <c r="AC2" s="87">
        <f>ДДС!AA3</f>
        <v>45322</v>
      </c>
      <c r="AD2" s="87">
        <f>ДДС!AB3</f>
        <v>45351</v>
      </c>
      <c r="AE2" s="87">
        <f>ДДС!AC3</f>
        <v>45382</v>
      </c>
      <c r="AF2" s="87">
        <f>ДДС!AD3</f>
        <v>45412</v>
      </c>
      <c r="AG2" s="87">
        <f>ДДС!AE3</f>
        <v>45443</v>
      </c>
      <c r="AH2" s="87">
        <f>ДДС!AF3</f>
        <v>45473</v>
      </c>
      <c r="AI2" s="87">
        <f>ДДС!AG3</f>
        <v>45504</v>
      </c>
      <c r="AJ2" s="87">
        <f>ДДС!AH3</f>
        <v>45535</v>
      </c>
      <c r="AK2" s="87">
        <f>ДДС!AI3</f>
        <v>45565</v>
      </c>
      <c r="AL2" s="87">
        <f>ДДС!AJ3</f>
        <v>45596</v>
      </c>
      <c r="AM2" s="87">
        <f>ДДС!AK3</f>
        <v>45626</v>
      </c>
      <c r="AN2" s="87">
        <f>ДДС!AL3</f>
        <v>45657</v>
      </c>
      <c r="AO2" s="87">
        <f>ДДС!AM3</f>
        <v>45688</v>
      </c>
      <c r="AP2" s="87">
        <f>ДДС!AN3</f>
        <v>45716</v>
      </c>
      <c r="AQ2" s="87">
        <f>ДДС!AO3</f>
        <v>45747</v>
      </c>
      <c r="AR2" s="87">
        <f>ДДС!AP3</f>
        <v>45777</v>
      </c>
      <c r="AS2" s="87">
        <f>ДДС!AQ3</f>
        <v>45808</v>
      </c>
      <c r="AT2" s="87">
        <f>ДДС!AR3</f>
        <v>45838</v>
      </c>
      <c r="AU2" s="87">
        <f>ДДС!AS3</f>
        <v>45869</v>
      </c>
      <c r="AV2" s="87">
        <f>ДДС!AT3</f>
        <v>45900</v>
      </c>
      <c r="AW2" s="87">
        <f>ДДС!AU3</f>
        <v>45930</v>
      </c>
      <c r="AX2" s="87">
        <f>ДДС!AV3</f>
        <v>45961</v>
      </c>
      <c r="AY2" s="87">
        <f>ДДС!AW3</f>
        <v>45991</v>
      </c>
      <c r="AZ2" s="87">
        <f>ДДС!AX3</f>
        <v>46022</v>
      </c>
      <c r="BA2" s="87">
        <f>ДДС!AY3</f>
        <v>46053</v>
      </c>
      <c r="BB2" s="87">
        <f>ДДС!AZ3</f>
        <v>46081</v>
      </c>
      <c r="BC2" s="87">
        <f>ДДС!BA3</f>
        <v>46112</v>
      </c>
      <c r="BD2" s="87">
        <f>ДДС!BB3</f>
        <v>46142</v>
      </c>
      <c r="BE2" s="87">
        <f>ДДС!BC3</f>
        <v>46173</v>
      </c>
      <c r="BF2" s="87">
        <f>ДДС!BD3</f>
        <v>46203</v>
      </c>
      <c r="BG2" s="87">
        <f>ДДС!BE3</f>
        <v>46234</v>
      </c>
      <c r="BH2" s="87">
        <f>ДДС!BF3</f>
        <v>46265</v>
      </c>
      <c r="BI2" s="87">
        <f>ДДС!BG3</f>
        <v>46295</v>
      </c>
      <c r="BJ2" s="87">
        <f>ДДС!BH3</f>
        <v>46326</v>
      </c>
      <c r="BK2" s="87">
        <f>ДДС!BI3</f>
        <v>46356</v>
      </c>
      <c r="BL2" s="87">
        <f>ДДС!BJ3</f>
        <v>46387</v>
      </c>
      <c r="BM2" s="87">
        <f>ДДС!BK3</f>
        <v>46418</v>
      </c>
      <c r="BN2" s="87">
        <f>ДДС!BL3</f>
        <v>46446</v>
      </c>
      <c r="BO2" s="87">
        <f>ДДС!BM3</f>
        <v>46477</v>
      </c>
      <c r="BP2" s="87">
        <f>ДДС!BN3</f>
        <v>46507</v>
      </c>
      <c r="BQ2" s="87">
        <f>ДДС!BO3</f>
        <v>46538</v>
      </c>
      <c r="BR2" s="87">
        <f>ДДС!BP3</f>
        <v>46568</v>
      </c>
      <c r="BS2" s="87">
        <f>ДДС!BQ3</f>
        <v>46599</v>
      </c>
      <c r="BT2" s="87">
        <f>ДДС!BR3</f>
        <v>46630</v>
      </c>
      <c r="BU2" s="87">
        <f>ДДС!BS3</f>
        <v>46660</v>
      </c>
      <c r="BV2" s="87">
        <f>ДДС!BT3</f>
        <v>46691</v>
      </c>
      <c r="BW2" s="87">
        <f>ДДС!BU3</f>
        <v>46721</v>
      </c>
      <c r="BX2" s="87">
        <f>ДДС!BV3</f>
        <v>46752</v>
      </c>
      <c r="BY2" s="87">
        <f>ДДС!BW3</f>
        <v>46783</v>
      </c>
      <c r="BZ2" s="87">
        <f>ДДС!BX3</f>
        <v>46812</v>
      </c>
      <c r="CA2" s="87">
        <f>ДДС!BY3</f>
        <v>46843</v>
      </c>
      <c r="CB2" s="87">
        <f>ДДС!BZ3</f>
        <v>46873</v>
      </c>
      <c r="CC2" s="87">
        <f>ДДС!CA3</f>
        <v>46904</v>
      </c>
      <c r="CD2" s="87">
        <f>ДДС!CB3</f>
        <v>46934</v>
      </c>
      <c r="CE2" s="87">
        <f>ДДС!CC3</f>
        <v>46965</v>
      </c>
      <c r="CF2" s="87">
        <f>ДДС!CD3</f>
        <v>46996</v>
      </c>
      <c r="CG2" s="87">
        <f>ДДС!CE3</f>
        <v>47026</v>
      </c>
      <c r="CH2" s="87">
        <f>ДДС!CF3</f>
        <v>47057</v>
      </c>
      <c r="CI2" s="87">
        <f>ДДС!CG3</f>
        <v>47087</v>
      </c>
      <c r="CJ2" s="87">
        <f>ДДС!CH3</f>
        <v>47118</v>
      </c>
      <c r="CK2" s="87">
        <f>ДДС!CI3</f>
        <v>47149</v>
      </c>
      <c r="CL2" s="87">
        <f>ДДС!CJ3</f>
        <v>47177</v>
      </c>
      <c r="CM2" s="87">
        <f>ДДС!CK3</f>
        <v>47208</v>
      </c>
      <c r="CN2" s="87">
        <f>ДДС!CL3</f>
        <v>47238</v>
      </c>
      <c r="CO2" s="87">
        <f>ДДС!CM3</f>
        <v>47269</v>
      </c>
      <c r="CP2" s="87">
        <f>ДДС!CN3</f>
        <v>47299</v>
      </c>
      <c r="CQ2" s="87">
        <f>ДДС!CO3</f>
        <v>47330</v>
      </c>
      <c r="CR2" s="87">
        <f>ДДС!CP3</f>
        <v>47361</v>
      </c>
      <c r="CS2" s="87">
        <f>ДДС!CQ3</f>
        <v>47391</v>
      </c>
      <c r="CT2" s="87">
        <f>ДДС!CR3</f>
        <v>47422</v>
      </c>
      <c r="CU2" s="87">
        <f>ДДС!CS3</f>
        <v>47452</v>
      </c>
      <c r="CV2" s="87">
        <f>ДДС!CT3</f>
        <v>47483</v>
      </c>
      <c r="CW2" s="87">
        <f>ДДС!CU3</f>
        <v>47514</v>
      </c>
      <c r="CX2" s="87">
        <f>ДДС!CV3</f>
        <v>47542</v>
      </c>
      <c r="CY2" s="87">
        <f>ДДС!CW3</f>
        <v>47573</v>
      </c>
      <c r="CZ2" s="87">
        <f>ДДС!CX3</f>
        <v>47603</v>
      </c>
      <c r="DA2" s="87">
        <f>ДДС!CY3</f>
        <v>47634</v>
      </c>
      <c r="DB2" s="87">
        <f>ДДС!CZ3</f>
        <v>47664</v>
      </c>
      <c r="DC2" s="87">
        <f>ДДС!DA3</f>
        <v>47695</v>
      </c>
      <c r="DD2" s="87">
        <f>ДДС!DB3</f>
        <v>47726</v>
      </c>
      <c r="DE2" s="87">
        <f>ДДС!DC3</f>
        <v>47756</v>
      </c>
      <c r="DF2" s="87">
        <f>ДДС!DD3</f>
        <v>47787</v>
      </c>
      <c r="DG2" s="87">
        <f>ДДС!DE3</f>
        <v>47817</v>
      </c>
      <c r="DH2" s="87">
        <f>ДДС!DF3</f>
        <v>47848</v>
      </c>
      <c r="DI2" s="87">
        <f>ДДС!DG3</f>
        <v>47879</v>
      </c>
      <c r="DJ2" s="87">
        <f>ДДС!DH3</f>
        <v>47907</v>
      </c>
      <c r="DK2" s="87">
        <f>ДДС!DI3</f>
        <v>47938</v>
      </c>
      <c r="DL2" s="87">
        <f>ДДС!DJ3</f>
        <v>47968</v>
      </c>
      <c r="DM2" s="87">
        <f>ДДС!DK3</f>
        <v>47999</v>
      </c>
      <c r="DN2" s="87">
        <f>ДДС!DL3</f>
        <v>48029</v>
      </c>
      <c r="DO2" s="87">
        <f>ДДС!DM3</f>
        <v>48060</v>
      </c>
      <c r="DP2" s="87">
        <f>ДДС!DN3</f>
        <v>48091</v>
      </c>
      <c r="DQ2" s="87">
        <f>ДДС!DO3</f>
        <v>48121</v>
      </c>
      <c r="DR2" s="87">
        <f>ДДС!DP3</f>
        <v>48152</v>
      </c>
      <c r="DS2" s="87">
        <f>ДДС!DQ3</f>
        <v>48182</v>
      </c>
      <c r="DT2" s="87">
        <f>ДДС!DR3</f>
        <v>48213</v>
      </c>
      <c r="DU2" s="87">
        <f>ДДС!DS3</f>
        <v>48244</v>
      </c>
      <c r="DV2" s="87">
        <f>ДДС!DT3</f>
        <v>48273</v>
      </c>
      <c r="DW2" s="87">
        <f>ДДС!DU3</f>
        <v>48304</v>
      </c>
      <c r="DX2" s="87">
        <f>ДДС!DV3</f>
        <v>48334</v>
      </c>
      <c r="DY2" s="87">
        <f>ДДС!DW3</f>
        <v>48365</v>
      </c>
      <c r="DZ2" s="87">
        <f>ДДС!DX3</f>
        <v>48395</v>
      </c>
      <c r="EA2" s="87">
        <f>ДДС!DY3</f>
        <v>48426</v>
      </c>
      <c r="EB2" s="87">
        <f>ДДС!DZ3</f>
        <v>48457</v>
      </c>
      <c r="EC2" s="87">
        <f>ДДС!EA3</f>
        <v>48487</v>
      </c>
      <c r="ED2" s="87">
        <f>ДДС!EB3</f>
        <v>48518</v>
      </c>
      <c r="EE2" s="87">
        <f>ДДС!EC3</f>
        <v>48548</v>
      </c>
      <c r="EF2" s="87">
        <f>ДДС!ED3</f>
        <v>48579</v>
      </c>
    </row>
    <row r="3" spans="1:193" s="362" customFormat="1" ht="13.15" customHeight="1">
      <c r="A3" s="360" t="s">
        <v>37</v>
      </c>
      <c r="B3" s="361" t="str">
        <f>Исх.данные!A56</f>
        <v xml:space="preserve">Командировочные расходы </v>
      </c>
      <c r="C3" s="218" t="s">
        <v>165</v>
      </c>
      <c r="D3" s="345">
        <f t="shared" ref="D3:D15" si="0">AVERAGE(AC3:CV3)</f>
        <v>128.59350000000003</v>
      </c>
      <c r="E3" s="345">
        <v>0</v>
      </c>
      <c r="F3" s="345">
        <v>0</v>
      </c>
      <c r="G3" s="345">
        <v>0</v>
      </c>
      <c r="H3" s="345">
        <v>0</v>
      </c>
      <c r="I3" s="345">
        <v>0</v>
      </c>
      <c r="J3" s="345">
        <v>0</v>
      </c>
      <c r="K3" s="345">
        <v>0</v>
      </c>
      <c r="L3" s="345">
        <v>0</v>
      </c>
      <c r="M3" s="345">
        <v>0</v>
      </c>
      <c r="N3" s="345">
        <v>0</v>
      </c>
      <c r="O3" s="345">
        <v>0</v>
      </c>
      <c r="P3" s="345">
        <v>0</v>
      </c>
      <c r="Q3" s="345">
        <v>0</v>
      </c>
      <c r="R3" s="345">
        <v>0</v>
      </c>
      <c r="S3" s="345">
        <v>0</v>
      </c>
      <c r="T3" s="345">
        <v>0</v>
      </c>
      <c r="U3" s="345">
        <v>0</v>
      </c>
      <c r="V3" s="345">
        <v>0</v>
      </c>
      <c r="W3" s="345">
        <v>0</v>
      </c>
      <c r="X3" s="345">
        <v>0</v>
      </c>
      <c r="Y3" s="345">
        <v>0</v>
      </c>
      <c r="Z3" s="345">
        <v>0</v>
      </c>
      <c r="AA3" s="345">
        <v>0</v>
      </c>
      <c r="AB3" s="345">
        <f>'Прогноз цен'!$B$20</f>
        <v>100</v>
      </c>
      <c r="AC3" s="345">
        <f>'Прогноз цен'!$C$20</f>
        <v>100</v>
      </c>
      <c r="AD3" s="345">
        <f>'Прогноз цен'!$C$20</f>
        <v>100</v>
      </c>
      <c r="AE3" s="345">
        <f>'Прогноз цен'!$C$20</f>
        <v>100</v>
      </c>
      <c r="AF3" s="345">
        <f>'Прогноз цен'!$C$20</f>
        <v>100</v>
      </c>
      <c r="AG3" s="345">
        <f>'Прогноз цен'!$C$20</f>
        <v>100</v>
      </c>
      <c r="AH3" s="345">
        <f>'Прогноз цен'!$C$20</f>
        <v>100</v>
      </c>
      <c r="AI3" s="345">
        <f>'Прогноз цен'!$C$20</f>
        <v>100</v>
      </c>
      <c r="AJ3" s="345">
        <f>'Прогноз цен'!$C$20</f>
        <v>100</v>
      </c>
      <c r="AK3" s="345">
        <f>'Прогноз цен'!$C$20</f>
        <v>100</v>
      </c>
      <c r="AL3" s="345">
        <f>'Прогноз цен'!$C$20</f>
        <v>100</v>
      </c>
      <c r="AM3" s="345">
        <f>'Прогноз цен'!$C$20</f>
        <v>100</v>
      </c>
      <c r="AN3" s="345">
        <f>'Прогноз цен'!$C$20</f>
        <v>100</v>
      </c>
      <c r="AO3" s="345">
        <f>'Прогноз цен'!$D$20</f>
        <v>110.00000000000001</v>
      </c>
      <c r="AP3" s="345">
        <f>'Прогноз цен'!$D$20</f>
        <v>110.00000000000001</v>
      </c>
      <c r="AQ3" s="345">
        <f>'Прогноз цен'!$D$20</f>
        <v>110.00000000000001</v>
      </c>
      <c r="AR3" s="345">
        <f>'Прогноз цен'!$D$20</f>
        <v>110.00000000000001</v>
      </c>
      <c r="AS3" s="345">
        <f>'Прогноз цен'!$D$20</f>
        <v>110.00000000000001</v>
      </c>
      <c r="AT3" s="345">
        <f>'Прогноз цен'!$D$20</f>
        <v>110.00000000000001</v>
      </c>
      <c r="AU3" s="345">
        <f>'Прогноз цен'!$D$20</f>
        <v>110.00000000000001</v>
      </c>
      <c r="AV3" s="345">
        <f>'Прогноз цен'!$D$20</f>
        <v>110.00000000000001</v>
      </c>
      <c r="AW3" s="345">
        <f>'Прогноз цен'!$D$20</f>
        <v>110.00000000000001</v>
      </c>
      <c r="AX3" s="345">
        <f>'Прогноз цен'!$D$20</f>
        <v>110.00000000000001</v>
      </c>
      <c r="AY3" s="345">
        <f>'Прогноз цен'!$D$20</f>
        <v>110.00000000000001</v>
      </c>
      <c r="AZ3" s="345">
        <f>'Прогноз цен'!$D$20</f>
        <v>110.00000000000001</v>
      </c>
      <c r="BA3" s="345">
        <f>'Прогноз цен'!$E$20</f>
        <v>121.00000000000003</v>
      </c>
      <c r="BB3" s="345">
        <f>'Прогноз цен'!$E$20</f>
        <v>121.00000000000003</v>
      </c>
      <c r="BC3" s="345">
        <f>'Прогноз цен'!$E$20</f>
        <v>121.00000000000003</v>
      </c>
      <c r="BD3" s="345">
        <f>'Прогноз цен'!$E$20</f>
        <v>121.00000000000003</v>
      </c>
      <c r="BE3" s="345">
        <f>'Прогноз цен'!$E$20</f>
        <v>121.00000000000003</v>
      </c>
      <c r="BF3" s="345">
        <f>'Прогноз цен'!$E$20</f>
        <v>121.00000000000003</v>
      </c>
      <c r="BG3" s="345">
        <f>'Прогноз цен'!$E$20</f>
        <v>121.00000000000003</v>
      </c>
      <c r="BH3" s="345">
        <f>'Прогноз цен'!$E$20</f>
        <v>121.00000000000003</v>
      </c>
      <c r="BI3" s="345">
        <f>'Прогноз цен'!$E$20</f>
        <v>121.00000000000003</v>
      </c>
      <c r="BJ3" s="345">
        <f>'Прогноз цен'!$E$20</f>
        <v>121.00000000000003</v>
      </c>
      <c r="BK3" s="345">
        <f>'Прогноз цен'!$E$20</f>
        <v>121.00000000000003</v>
      </c>
      <c r="BL3" s="345">
        <f>'Прогноз цен'!$E$20</f>
        <v>121.00000000000003</v>
      </c>
      <c r="BM3" s="345">
        <f>'Прогноз цен'!$F$20</f>
        <v>133.10000000000005</v>
      </c>
      <c r="BN3" s="345">
        <f>'Прогноз цен'!$F$20</f>
        <v>133.10000000000005</v>
      </c>
      <c r="BO3" s="345">
        <f>'Прогноз цен'!$F$20</f>
        <v>133.10000000000005</v>
      </c>
      <c r="BP3" s="345">
        <f>'Прогноз цен'!$F$20</f>
        <v>133.10000000000005</v>
      </c>
      <c r="BQ3" s="345">
        <f>'Прогноз цен'!$F$20</f>
        <v>133.10000000000005</v>
      </c>
      <c r="BR3" s="345">
        <f>'Прогноз цен'!$F$20</f>
        <v>133.10000000000005</v>
      </c>
      <c r="BS3" s="345">
        <f>'Прогноз цен'!$F$20</f>
        <v>133.10000000000005</v>
      </c>
      <c r="BT3" s="345">
        <f>'Прогноз цен'!$F$20</f>
        <v>133.10000000000005</v>
      </c>
      <c r="BU3" s="345">
        <f>'Прогноз цен'!$F$20</f>
        <v>133.10000000000005</v>
      </c>
      <c r="BV3" s="345">
        <f>'Прогноз цен'!$F$20</f>
        <v>133.10000000000005</v>
      </c>
      <c r="BW3" s="345">
        <f>'Прогноз цен'!$F$20</f>
        <v>133.10000000000005</v>
      </c>
      <c r="BX3" s="345">
        <f>'Прогноз цен'!$F$20</f>
        <v>133.10000000000005</v>
      </c>
      <c r="BY3" s="345">
        <f>'Прогноз цен'!$G$20</f>
        <v>146.41000000000008</v>
      </c>
      <c r="BZ3" s="345">
        <f>'Прогноз цен'!$G$20</f>
        <v>146.41000000000008</v>
      </c>
      <c r="CA3" s="345">
        <f>'Прогноз цен'!$G$20</f>
        <v>146.41000000000008</v>
      </c>
      <c r="CB3" s="345">
        <f>'Прогноз цен'!$G$20</f>
        <v>146.41000000000008</v>
      </c>
      <c r="CC3" s="345">
        <f>'Прогноз цен'!$G$20</f>
        <v>146.41000000000008</v>
      </c>
      <c r="CD3" s="345">
        <f>'Прогноз цен'!$G$20</f>
        <v>146.41000000000008</v>
      </c>
      <c r="CE3" s="345">
        <f>'Прогноз цен'!$G$20</f>
        <v>146.41000000000008</v>
      </c>
      <c r="CF3" s="345">
        <f>'Прогноз цен'!$G$20</f>
        <v>146.41000000000008</v>
      </c>
      <c r="CG3" s="345">
        <f>'Прогноз цен'!$G$20</f>
        <v>146.41000000000008</v>
      </c>
      <c r="CH3" s="345">
        <f>'Прогноз цен'!$G$20</f>
        <v>146.41000000000008</v>
      </c>
      <c r="CI3" s="345">
        <f>'Прогноз цен'!$G$20</f>
        <v>146.41000000000008</v>
      </c>
      <c r="CJ3" s="345">
        <f>'Прогноз цен'!$G$20</f>
        <v>146.41000000000008</v>
      </c>
      <c r="CK3" s="345">
        <f>'Прогноз цен'!$H$20</f>
        <v>161.0510000000001</v>
      </c>
      <c r="CL3" s="345">
        <f>'Прогноз цен'!$H$20</f>
        <v>161.0510000000001</v>
      </c>
      <c r="CM3" s="345">
        <f>'Прогноз цен'!$H$20</f>
        <v>161.0510000000001</v>
      </c>
      <c r="CN3" s="345">
        <f>'Прогноз цен'!$H$20</f>
        <v>161.0510000000001</v>
      </c>
      <c r="CO3" s="345">
        <f>'Прогноз цен'!$H$20</f>
        <v>161.0510000000001</v>
      </c>
      <c r="CP3" s="345">
        <f>'Прогноз цен'!$H$20</f>
        <v>161.0510000000001</v>
      </c>
      <c r="CQ3" s="345">
        <f>'Прогноз цен'!$H$20</f>
        <v>161.0510000000001</v>
      </c>
      <c r="CR3" s="345">
        <f>'Прогноз цен'!$H$20</f>
        <v>161.0510000000001</v>
      </c>
      <c r="CS3" s="345">
        <f>'Прогноз цен'!$H$20</f>
        <v>161.0510000000001</v>
      </c>
      <c r="CT3" s="345">
        <f>'Прогноз цен'!$H$20</f>
        <v>161.0510000000001</v>
      </c>
      <c r="CU3" s="345">
        <f>'Прогноз цен'!$H$20</f>
        <v>161.0510000000001</v>
      </c>
      <c r="CV3" s="345">
        <f>'Прогноз цен'!$H$20</f>
        <v>161.0510000000001</v>
      </c>
      <c r="CW3" s="345">
        <f>'Прогноз цен'!$I$20</f>
        <v>177.15610000000012</v>
      </c>
      <c r="CX3" s="345">
        <f>'Прогноз цен'!$I$20</f>
        <v>177.15610000000012</v>
      </c>
      <c r="CY3" s="345">
        <f>'Прогноз цен'!$I$20</f>
        <v>177.15610000000012</v>
      </c>
      <c r="CZ3" s="345">
        <f>'Прогноз цен'!$I$20</f>
        <v>177.15610000000012</v>
      </c>
      <c r="DA3" s="345">
        <f>'Прогноз цен'!$I$20</f>
        <v>177.15610000000012</v>
      </c>
      <c r="DB3" s="345">
        <f>'Прогноз цен'!$I$20</f>
        <v>177.15610000000012</v>
      </c>
      <c r="DC3" s="345">
        <f>'Прогноз цен'!$I$20</f>
        <v>177.15610000000012</v>
      </c>
      <c r="DD3" s="345">
        <f>'Прогноз цен'!$I$20</f>
        <v>177.15610000000012</v>
      </c>
      <c r="DE3" s="345">
        <f>'Прогноз цен'!$I$20</f>
        <v>177.15610000000012</v>
      </c>
      <c r="DF3" s="345">
        <f>'Прогноз цен'!$I$20</f>
        <v>177.15610000000012</v>
      </c>
      <c r="DG3" s="345">
        <f>'Прогноз цен'!$I$20</f>
        <v>177.15610000000012</v>
      </c>
      <c r="DH3" s="345">
        <f>'Прогноз цен'!$I$20</f>
        <v>177.15610000000012</v>
      </c>
      <c r="DI3" s="345">
        <f>'Прогноз цен'!$J$20</f>
        <v>194.87171000000015</v>
      </c>
      <c r="DJ3" s="345">
        <f>'Прогноз цен'!$J$20</f>
        <v>194.87171000000015</v>
      </c>
      <c r="DK3" s="345">
        <f>'Прогноз цен'!$J$20</f>
        <v>194.87171000000015</v>
      </c>
      <c r="DL3" s="345">
        <f>'Прогноз цен'!$J$20</f>
        <v>194.87171000000015</v>
      </c>
      <c r="DM3" s="345">
        <f>'Прогноз цен'!$J$20</f>
        <v>194.87171000000015</v>
      </c>
      <c r="DN3" s="345">
        <f>'Прогноз цен'!$J$20</f>
        <v>194.87171000000015</v>
      </c>
      <c r="DO3" s="345">
        <f>'Прогноз цен'!$J$20</f>
        <v>194.87171000000015</v>
      </c>
      <c r="DP3" s="345">
        <f>'Прогноз цен'!$J$20</f>
        <v>194.87171000000015</v>
      </c>
      <c r="DQ3" s="345">
        <f>'Прогноз цен'!$J$20</f>
        <v>194.87171000000015</v>
      </c>
      <c r="DR3" s="345">
        <f>'Прогноз цен'!$J$20</f>
        <v>194.87171000000015</v>
      </c>
      <c r="DS3" s="345">
        <f>'Прогноз цен'!$J$20</f>
        <v>194.87171000000015</v>
      </c>
      <c r="DT3" s="345">
        <f>'Прогноз цен'!$J$20</f>
        <v>194.87171000000015</v>
      </c>
      <c r="DU3" s="345">
        <f>'Прогноз цен'!$K$20</f>
        <v>214.3588810000002</v>
      </c>
      <c r="DV3" s="345">
        <f>'Прогноз цен'!$K$20</f>
        <v>214.3588810000002</v>
      </c>
      <c r="DW3" s="345">
        <f>'Прогноз цен'!$K$20</f>
        <v>214.3588810000002</v>
      </c>
      <c r="DX3" s="345">
        <f>'Прогноз цен'!$K$20</f>
        <v>214.3588810000002</v>
      </c>
      <c r="DY3" s="345">
        <f>'Прогноз цен'!$K$20</f>
        <v>214.3588810000002</v>
      </c>
      <c r="DZ3" s="345">
        <f>'Прогноз цен'!$K$20</f>
        <v>214.3588810000002</v>
      </c>
      <c r="EA3" s="345">
        <f>'Прогноз цен'!$K$20</f>
        <v>214.3588810000002</v>
      </c>
      <c r="EB3" s="345">
        <f>'Прогноз цен'!$K$20</f>
        <v>214.3588810000002</v>
      </c>
      <c r="EC3" s="345">
        <f>'Прогноз цен'!$K$20</f>
        <v>214.3588810000002</v>
      </c>
      <c r="ED3" s="345">
        <f>'Прогноз цен'!$K$20</f>
        <v>214.3588810000002</v>
      </c>
      <c r="EE3" s="345">
        <f>'Прогноз цен'!$K$20</f>
        <v>214.3588810000002</v>
      </c>
      <c r="EF3" s="345">
        <f>'Прогноз цен'!$K$20</f>
        <v>214.3588810000002</v>
      </c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</row>
    <row r="4" spans="1:193" s="362" customFormat="1" ht="13.15" customHeight="1">
      <c r="A4" s="360" t="s">
        <v>38</v>
      </c>
      <c r="B4" s="361" t="str">
        <f>Исх.данные!A57</f>
        <v>Оплата подрядным организациям</v>
      </c>
      <c r="C4" s="218" t="s">
        <v>165</v>
      </c>
      <c r="D4" s="345">
        <f t="shared" si="0"/>
        <v>10287.479999999996</v>
      </c>
      <c r="E4" s="345">
        <v>0</v>
      </c>
      <c r="F4" s="345">
        <v>0</v>
      </c>
      <c r="G4" s="345">
        <v>0</v>
      </c>
      <c r="H4" s="345">
        <v>0</v>
      </c>
      <c r="I4" s="345">
        <v>0</v>
      </c>
      <c r="J4" s="345">
        <v>0</v>
      </c>
      <c r="K4" s="345">
        <v>0</v>
      </c>
      <c r="L4" s="345">
        <v>0</v>
      </c>
      <c r="M4" s="345">
        <v>0</v>
      </c>
      <c r="N4" s="345">
        <v>0</v>
      </c>
      <c r="O4" s="345">
        <v>0</v>
      </c>
      <c r="P4" s="345">
        <v>0</v>
      </c>
      <c r="Q4" s="345">
        <v>0</v>
      </c>
      <c r="R4" s="345">
        <v>0</v>
      </c>
      <c r="S4" s="345">
        <v>0</v>
      </c>
      <c r="T4" s="345">
        <v>0</v>
      </c>
      <c r="U4" s="345">
        <v>0</v>
      </c>
      <c r="V4" s="345">
        <v>0</v>
      </c>
      <c r="W4" s="345">
        <v>0</v>
      </c>
      <c r="X4" s="345">
        <v>0</v>
      </c>
      <c r="Y4" s="345">
        <v>0</v>
      </c>
      <c r="Z4" s="345">
        <v>0</v>
      </c>
      <c r="AA4" s="345">
        <v>0</v>
      </c>
      <c r="AB4" s="345">
        <f>'Прогноз цен'!$B$21</f>
        <v>8000</v>
      </c>
      <c r="AC4" s="345">
        <f>'Прогноз цен'!$C$21</f>
        <v>8000</v>
      </c>
      <c r="AD4" s="345">
        <f>'Прогноз цен'!$C$21</f>
        <v>8000</v>
      </c>
      <c r="AE4" s="345">
        <f>'Прогноз цен'!$C$21</f>
        <v>8000</v>
      </c>
      <c r="AF4" s="345">
        <f>'Прогноз цен'!$C$21</f>
        <v>8000</v>
      </c>
      <c r="AG4" s="345">
        <f>'Прогноз цен'!$C$21</f>
        <v>8000</v>
      </c>
      <c r="AH4" s="345">
        <f>'Прогноз цен'!$C$21</f>
        <v>8000</v>
      </c>
      <c r="AI4" s="345">
        <f>'Прогноз цен'!$C$21</f>
        <v>8000</v>
      </c>
      <c r="AJ4" s="345">
        <f>'Прогноз цен'!$C$21</f>
        <v>8000</v>
      </c>
      <c r="AK4" s="345">
        <f>'Прогноз цен'!$C$21</f>
        <v>8000</v>
      </c>
      <c r="AL4" s="345">
        <f>'Прогноз цен'!$C$21</f>
        <v>8000</v>
      </c>
      <c r="AM4" s="345">
        <f>'Прогноз цен'!$C$21</f>
        <v>8000</v>
      </c>
      <c r="AN4" s="345">
        <f>'Прогноз цен'!$C$21</f>
        <v>8000</v>
      </c>
      <c r="AO4" s="345">
        <f>'Прогноз цен'!$D$21</f>
        <v>8800</v>
      </c>
      <c r="AP4" s="345">
        <f>'Прогноз цен'!$D$21</f>
        <v>8800</v>
      </c>
      <c r="AQ4" s="345">
        <f>'Прогноз цен'!$D$21</f>
        <v>8800</v>
      </c>
      <c r="AR4" s="345">
        <f>'Прогноз цен'!$D$21</f>
        <v>8800</v>
      </c>
      <c r="AS4" s="345">
        <f>'Прогноз цен'!$D$21</f>
        <v>8800</v>
      </c>
      <c r="AT4" s="345">
        <f>'Прогноз цен'!$D$21</f>
        <v>8800</v>
      </c>
      <c r="AU4" s="345">
        <f>'Прогноз цен'!$D$21</f>
        <v>8800</v>
      </c>
      <c r="AV4" s="345">
        <f>'Прогноз цен'!$D$21</f>
        <v>8800</v>
      </c>
      <c r="AW4" s="345">
        <f>'Прогноз цен'!$D$21</f>
        <v>8800</v>
      </c>
      <c r="AX4" s="345">
        <f>'Прогноз цен'!$D$21</f>
        <v>8800</v>
      </c>
      <c r="AY4" s="345">
        <f>'Прогноз цен'!$D$21</f>
        <v>8800</v>
      </c>
      <c r="AZ4" s="345">
        <f>'Прогноз цен'!$D$21</f>
        <v>8800</v>
      </c>
      <c r="BA4" s="345">
        <f>'Прогноз цен'!$E$21</f>
        <v>9680</v>
      </c>
      <c r="BB4" s="345">
        <f>'Прогноз цен'!$E$21</f>
        <v>9680</v>
      </c>
      <c r="BC4" s="345">
        <f>'Прогноз цен'!$E$21</f>
        <v>9680</v>
      </c>
      <c r="BD4" s="345">
        <f>'Прогноз цен'!$E$21</f>
        <v>9680</v>
      </c>
      <c r="BE4" s="345">
        <f>'Прогноз цен'!$E$21</f>
        <v>9680</v>
      </c>
      <c r="BF4" s="345">
        <f>'Прогноз цен'!$E$21</f>
        <v>9680</v>
      </c>
      <c r="BG4" s="345">
        <f>'Прогноз цен'!$E$21</f>
        <v>9680</v>
      </c>
      <c r="BH4" s="345">
        <f>'Прогноз цен'!$E$21</f>
        <v>9680</v>
      </c>
      <c r="BI4" s="345">
        <f>'Прогноз цен'!$E$21</f>
        <v>9680</v>
      </c>
      <c r="BJ4" s="345">
        <f>'Прогноз цен'!$E$21</f>
        <v>9680</v>
      </c>
      <c r="BK4" s="345">
        <f>'Прогноз цен'!$E$21</f>
        <v>9680</v>
      </c>
      <c r="BL4" s="345">
        <f>'Прогноз цен'!$E$21</f>
        <v>9680</v>
      </c>
      <c r="BM4" s="345">
        <f>'Прогноз цен'!$F$21</f>
        <v>10648</v>
      </c>
      <c r="BN4" s="345">
        <f>'Прогноз цен'!$F$21</f>
        <v>10648</v>
      </c>
      <c r="BO4" s="345">
        <f>'Прогноз цен'!$F$21</f>
        <v>10648</v>
      </c>
      <c r="BP4" s="345">
        <f>'Прогноз цен'!$F$21</f>
        <v>10648</v>
      </c>
      <c r="BQ4" s="345">
        <f>'Прогноз цен'!$F$21</f>
        <v>10648</v>
      </c>
      <c r="BR4" s="345">
        <f>'Прогноз цен'!$F$21</f>
        <v>10648</v>
      </c>
      <c r="BS4" s="345">
        <f>'Прогноз цен'!$F$21</f>
        <v>10648</v>
      </c>
      <c r="BT4" s="345">
        <f>'Прогноз цен'!$F$21</f>
        <v>10648</v>
      </c>
      <c r="BU4" s="345">
        <f>'Прогноз цен'!$F$21</f>
        <v>10648</v>
      </c>
      <c r="BV4" s="345">
        <f>'Прогноз цен'!$F$21</f>
        <v>10648</v>
      </c>
      <c r="BW4" s="345">
        <f>'Прогноз цен'!$F$21</f>
        <v>10648</v>
      </c>
      <c r="BX4" s="345">
        <f>'Прогноз цен'!$F$21</f>
        <v>10648</v>
      </c>
      <c r="BY4" s="345">
        <f>'Прогноз цен'!$G$21</f>
        <v>11712.800000000001</v>
      </c>
      <c r="BZ4" s="345">
        <f>'Прогноз цен'!$G$21</f>
        <v>11712.800000000001</v>
      </c>
      <c r="CA4" s="345">
        <f>'Прогноз цен'!$G$21</f>
        <v>11712.800000000001</v>
      </c>
      <c r="CB4" s="345">
        <f>'Прогноз цен'!$G$21</f>
        <v>11712.800000000001</v>
      </c>
      <c r="CC4" s="345">
        <f>'Прогноз цен'!$G$21</f>
        <v>11712.800000000001</v>
      </c>
      <c r="CD4" s="345">
        <f>'Прогноз цен'!$G$21</f>
        <v>11712.800000000001</v>
      </c>
      <c r="CE4" s="345">
        <f>'Прогноз цен'!$G$21</f>
        <v>11712.800000000001</v>
      </c>
      <c r="CF4" s="345">
        <f>'Прогноз цен'!$G$21</f>
        <v>11712.800000000001</v>
      </c>
      <c r="CG4" s="345">
        <f>'Прогноз цен'!$G$21</f>
        <v>11712.800000000001</v>
      </c>
      <c r="CH4" s="345">
        <f>'Прогноз цен'!$G$21</f>
        <v>11712.800000000001</v>
      </c>
      <c r="CI4" s="345">
        <f>'Прогноз цен'!$G$21</f>
        <v>11712.800000000001</v>
      </c>
      <c r="CJ4" s="345">
        <f>'Прогноз цен'!$G$21</f>
        <v>11712.800000000001</v>
      </c>
      <c r="CK4" s="345">
        <f>'Прогноз цен'!$H$21</f>
        <v>12884.080000000002</v>
      </c>
      <c r="CL4" s="345">
        <f>'Прогноз цен'!$H$21</f>
        <v>12884.080000000002</v>
      </c>
      <c r="CM4" s="345">
        <f>'Прогноз цен'!$H$21</f>
        <v>12884.080000000002</v>
      </c>
      <c r="CN4" s="345">
        <f>'Прогноз цен'!$H$21</f>
        <v>12884.080000000002</v>
      </c>
      <c r="CO4" s="345">
        <f>'Прогноз цен'!$H$21</f>
        <v>12884.080000000002</v>
      </c>
      <c r="CP4" s="345">
        <f>'Прогноз цен'!$H$21</f>
        <v>12884.080000000002</v>
      </c>
      <c r="CQ4" s="345">
        <f>'Прогноз цен'!$H$21</f>
        <v>12884.080000000002</v>
      </c>
      <c r="CR4" s="345">
        <f>'Прогноз цен'!$H$21</f>
        <v>12884.080000000002</v>
      </c>
      <c r="CS4" s="345">
        <f>'Прогноз цен'!$H$21</f>
        <v>12884.080000000002</v>
      </c>
      <c r="CT4" s="345">
        <f>'Прогноз цен'!$H$21</f>
        <v>12884.080000000002</v>
      </c>
      <c r="CU4" s="345">
        <f>'Прогноз цен'!$H$21</f>
        <v>12884.080000000002</v>
      </c>
      <c r="CV4" s="345">
        <f>'Прогноз цен'!$H$21</f>
        <v>12884.080000000002</v>
      </c>
      <c r="CW4" s="345">
        <f>'Прогноз цен'!$I$21</f>
        <v>14172.488000000003</v>
      </c>
      <c r="CX4" s="345">
        <f>'Прогноз цен'!$I$21</f>
        <v>14172.488000000003</v>
      </c>
      <c r="CY4" s="345">
        <f>'Прогноз цен'!$I$21</f>
        <v>14172.488000000003</v>
      </c>
      <c r="CZ4" s="345">
        <f>'Прогноз цен'!$I$21</f>
        <v>14172.488000000003</v>
      </c>
      <c r="DA4" s="345">
        <f>'Прогноз цен'!$I$21</f>
        <v>14172.488000000003</v>
      </c>
      <c r="DB4" s="345">
        <f>'Прогноз цен'!$I$21</f>
        <v>14172.488000000003</v>
      </c>
      <c r="DC4" s="345">
        <f>'Прогноз цен'!$I$21</f>
        <v>14172.488000000003</v>
      </c>
      <c r="DD4" s="345">
        <f>'Прогноз цен'!$I$21</f>
        <v>14172.488000000003</v>
      </c>
      <c r="DE4" s="345">
        <f>'Прогноз цен'!$I$21</f>
        <v>14172.488000000003</v>
      </c>
      <c r="DF4" s="345">
        <f>'Прогноз цен'!$I$21</f>
        <v>14172.488000000003</v>
      </c>
      <c r="DG4" s="345">
        <f>'Прогноз цен'!$I$21</f>
        <v>14172.488000000003</v>
      </c>
      <c r="DH4" s="345">
        <f>'Прогноз цен'!$I$21</f>
        <v>14172.488000000003</v>
      </c>
      <c r="DI4" s="345">
        <f>'Прогноз цен'!$J$21</f>
        <v>15589.736800000004</v>
      </c>
      <c r="DJ4" s="345">
        <f>'Прогноз цен'!$J$21</f>
        <v>15589.736800000004</v>
      </c>
      <c r="DK4" s="345">
        <f>'Прогноз цен'!$J$21</f>
        <v>15589.736800000004</v>
      </c>
      <c r="DL4" s="345">
        <f>'Прогноз цен'!$J$21</f>
        <v>15589.736800000004</v>
      </c>
      <c r="DM4" s="345">
        <f>'Прогноз цен'!$J$21</f>
        <v>15589.736800000004</v>
      </c>
      <c r="DN4" s="345">
        <f>'Прогноз цен'!$J$21</f>
        <v>15589.736800000004</v>
      </c>
      <c r="DO4" s="345">
        <f>'Прогноз цен'!$J$21</f>
        <v>15589.736800000004</v>
      </c>
      <c r="DP4" s="345">
        <f>'Прогноз цен'!$J$21</f>
        <v>15589.736800000004</v>
      </c>
      <c r="DQ4" s="345">
        <f>'Прогноз цен'!$J$21</f>
        <v>15589.736800000004</v>
      </c>
      <c r="DR4" s="345">
        <f>'Прогноз цен'!$J$21</f>
        <v>15589.736800000004</v>
      </c>
      <c r="DS4" s="345">
        <f>'Прогноз цен'!$J$21</f>
        <v>15589.736800000004</v>
      </c>
      <c r="DT4" s="345">
        <f>'Прогноз цен'!$J$21</f>
        <v>15589.736800000004</v>
      </c>
      <c r="DU4" s="345">
        <f>'Прогноз цен'!$K$21</f>
        <v>17148.710480000005</v>
      </c>
      <c r="DV4" s="345">
        <f>'Прогноз цен'!$K$21</f>
        <v>17148.710480000005</v>
      </c>
      <c r="DW4" s="345">
        <f>'Прогноз цен'!$K$21</f>
        <v>17148.710480000005</v>
      </c>
      <c r="DX4" s="345">
        <f>'Прогноз цен'!$K$21</f>
        <v>17148.710480000005</v>
      </c>
      <c r="DY4" s="345">
        <f>'Прогноз цен'!$K$21</f>
        <v>17148.710480000005</v>
      </c>
      <c r="DZ4" s="345">
        <f>'Прогноз цен'!$K$21</f>
        <v>17148.710480000005</v>
      </c>
      <c r="EA4" s="345">
        <f>'Прогноз цен'!$K$21</f>
        <v>17148.710480000005</v>
      </c>
      <c r="EB4" s="345">
        <f>'Прогноз цен'!$K$21</f>
        <v>17148.710480000005</v>
      </c>
      <c r="EC4" s="345">
        <f>'Прогноз цен'!$K$21</f>
        <v>17148.710480000005</v>
      </c>
      <c r="ED4" s="345">
        <f>'Прогноз цен'!$K$21</f>
        <v>17148.710480000005</v>
      </c>
      <c r="EE4" s="345">
        <f>'Прогноз цен'!$K$21</f>
        <v>17148.710480000005</v>
      </c>
      <c r="EF4" s="345">
        <f>'Прогноз цен'!$K$21</f>
        <v>17148.710480000005</v>
      </c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</row>
    <row r="5" spans="1:193" s="362" customFormat="1" ht="13.15" customHeight="1">
      <c r="A5" s="360" t="s">
        <v>137</v>
      </c>
      <c r="B5" s="361" t="str">
        <f>Исх.данные!A58</f>
        <v>Госпошлины</v>
      </c>
      <c r="C5" s="218" t="s">
        <v>165</v>
      </c>
      <c r="D5" s="345">
        <f t="shared" si="0"/>
        <v>25.718699999999988</v>
      </c>
      <c r="E5" s="345">
        <v>0</v>
      </c>
      <c r="F5" s="345">
        <v>0</v>
      </c>
      <c r="G5" s="345">
        <v>0</v>
      </c>
      <c r="H5" s="345">
        <v>0</v>
      </c>
      <c r="I5" s="345">
        <v>0</v>
      </c>
      <c r="J5" s="345">
        <v>0</v>
      </c>
      <c r="K5" s="345">
        <v>0</v>
      </c>
      <c r="L5" s="345">
        <v>0</v>
      </c>
      <c r="M5" s="345">
        <v>0</v>
      </c>
      <c r="N5" s="345">
        <v>0</v>
      </c>
      <c r="O5" s="345">
        <v>0</v>
      </c>
      <c r="P5" s="345">
        <v>0</v>
      </c>
      <c r="Q5" s="345">
        <v>0</v>
      </c>
      <c r="R5" s="345">
        <v>0</v>
      </c>
      <c r="S5" s="345">
        <v>0</v>
      </c>
      <c r="T5" s="345">
        <v>0</v>
      </c>
      <c r="U5" s="345">
        <v>0</v>
      </c>
      <c r="V5" s="345">
        <v>0</v>
      </c>
      <c r="W5" s="345">
        <v>0</v>
      </c>
      <c r="X5" s="345">
        <v>0</v>
      </c>
      <c r="Y5" s="345">
        <v>0</v>
      </c>
      <c r="Z5" s="345">
        <v>0</v>
      </c>
      <c r="AA5" s="345">
        <v>0</v>
      </c>
      <c r="AB5" s="345">
        <f>'Прогноз цен'!$B$22</f>
        <v>20</v>
      </c>
      <c r="AC5" s="345">
        <f>'Прогноз цен'!$C$22</f>
        <v>20</v>
      </c>
      <c r="AD5" s="345">
        <f>'Прогноз цен'!$C$22</f>
        <v>20</v>
      </c>
      <c r="AE5" s="345">
        <f>'Прогноз цен'!$C$22</f>
        <v>20</v>
      </c>
      <c r="AF5" s="345">
        <f>'Прогноз цен'!$C$22</f>
        <v>20</v>
      </c>
      <c r="AG5" s="345">
        <f>'Прогноз цен'!$C$22</f>
        <v>20</v>
      </c>
      <c r="AH5" s="345">
        <f>'Прогноз цен'!$C$22</f>
        <v>20</v>
      </c>
      <c r="AI5" s="345">
        <f>'Прогноз цен'!$C$22</f>
        <v>20</v>
      </c>
      <c r="AJ5" s="345">
        <f>'Прогноз цен'!$C$22</f>
        <v>20</v>
      </c>
      <c r="AK5" s="345">
        <f>'Прогноз цен'!$C$22</f>
        <v>20</v>
      </c>
      <c r="AL5" s="345">
        <f>'Прогноз цен'!$C$22</f>
        <v>20</v>
      </c>
      <c r="AM5" s="345">
        <f>'Прогноз цен'!$C$22</f>
        <v>20</v>
      </c>
      <c r="AN5" s="345">
        <f>'Прогноз цен'!$C$22</f>
        <v>20</v>
      </c>
      <c r="AO5" s="345">
        <f>'Прогноз цен'!$D$22</f>
        <v>22</v>
      </c>
      <c r="AP5" s="345">
        <f>'Прогноз цен'!$D$22</f>
        <v>22</v>
      </c>
      <c r="AQ5" s="345">
        <f>'Прогноз цен'!$D$22</f>
        <v>22</v>
      </c>
      <c r="AR5" s="345">
        <f>'Прогноз цен'!$D$22</f>
        <v>22</v>
      </c>
      <c r="AS5" s="345">
        <f>'Прогноз цен'!$D$22</f>
        <v>22</v>
      </c>
      <c r="AT5" s="345">
        <f>'Прогноз цен'!$D$22</f>
        <v>22</v>
      </c>
      <c r="AU5" s="345">
        <f>'Прогноз цен'!$D$22</f>
        <v>22</v>
      </c>
      <c r="AV5" s="345">
        <f>'Прогноз цен'!$D$22</f>
        <v>22</v>
      </c>
      <c r="AW5" s="345">
        <f>'Прогноз цен'!$D$22</f>
        <v>22</v>
      </c>
      <c r="AX5" s="345">
        <f>'Прогноз цен'!$D$22</f>
        <v>22</v>
      </c>
      <c r="AY5" s="345">
        <f>'Прогноз цен'!$D$22</f>
        <v>22</v>
      </c>
      <c r="AZ5" s="345">
        <f>'Прогноз цен'!$D$22</f>
        <v>22</v>
      </c>
      <c r="BA5" s="345">
        <f>'Прогноз цен'!$E$22</f>
        <v>24.200000000000003</v>
      </c>
      <c r="BB5" s="345">
        <f>'Прогноз цен'!$E$22</f>
        <v>24.200000000000003</v>
      </c>
      <c r="BC5" s="345">
        <f>'Прогноз цен'!$E$22</f>
        <v>24.200000000000003</v>
      </c>
      <c r="BD5" s="345">
        <f>'Прогноз цен'!$E$22</f>
        <v>24.200000000000003</v>
      </c>
      <c r="BE5" s="345">
        <f>'Прогноз цен'!$E$22</f>
        <v>24.200000000000003</v>
      </c>
      <c r="BF5" s="345">
        <f>'Прогноз цен'!$E$22</f>
        <v>24.200000000000003</v>
      </c>
      <c r="BG5" s="345">
        <f>'Прогноз цен'!$E$22</f>
        <v>24.200000000000003</v>
      </c>
      <c r="BH5" s="345">
        <f>'Прогноз цен'!$E$22</f>
        <v>24.200000000000003</v>
      </c>
      <c r="BI5" s="345">
        <f>'Прогноз цен'!$E$22</f>
        <v>24.200000000000003</v>
      </c>
      <c r="BJ5" s="345">
        <f>'Прогноз цен'!$E$22</f>
        <v>24.200000000000003</v>
      </c>
      <c r="BK5" s="345">
        <f>'Прогноз цен'!$E$22</f>
        <v>24.200000000000003</v>
      </c>
      <c r="BL5" s="345">
        <f>'Прогноз цен'!$E$22</f>
        <v>24.200000000000003</v>
      </c>
      <c r="BM5" s="345">
        <f>'Прогноз цен'!$F$22</f>
        <v>26.620000000000005</v>
      </c>
      <c r="BN5" s="345">
        <f>'Прогноз цен'!$F$22</f>
        <v>26.620000000000005</v>
      </c>
      <c r="BO5" s="345">
        <f>'Прогноз цен'!$F$22</f>
        <v>26.620000000000005</v>
      </c>
      <c r="BP5" s="345">
        <f>'Прогноз цен'!$F$22</f>
        <v>26.620000000000005</v>
      </c>
      <c r="BQ5" s="345">
        <f>'Прогноз цен'!$F$22</f>
        <v>26.620000000000005</v>
      </c>
      <c r="BR5" s="345">
        <f>'Прогноз цен'!$F$22</f>
        <v>26.620000000000005</v>
      </c>
      <c r="BS5" s="345">
        <f>'Прогноз цен'!$F$22</f>
        <v>26.620000000000005</v>
      </c>
      <c r="BT5" s="345">
        <f>'Прогноз цен'!$F$22</f>
        <v>26.620000000000005</v>
      </c>
      <c r="BU5" s="345">
        <f>'Прогноз цен'!$F$22</f>
        <v>26.620000000000005</v>
      </c>
      <c r="BV5" s="345">
        <f>'Прогноз цен'!$F$22</f>
        <v>26.620000000000005</v>
      </c>
      <c r="BW5" s="345">
        <f>'Прогноз цен'!$F$22</f>
        <v>26.620000000000005</v>
      </c>
      <c r="BX5" s="345">
        <f>'Прогноз цен'!$F$22</f>
        <v>26.620000000000005</v>
      </c>
      <c r="BY5" s="345">
        <f>'Прогноз цен'!$G$22</f>
        <v>29.282000000000007</v>
      </c>
      <c r="BZ5" s="345">
        <f>'Прогноз цен'!$G$22</f>
        <v>29.282000000000007</v>
      </c>
      <c r="CA5" s="345">
        <f>'Прогноз цен'!$G$22</f>
        <v>29.282000000000007</v>
      </c>
      <c r="CB5" s="345">
        <f>'Прогноз цен'!$G$22</f>
        <v>29.282000000000007</v>
      </c>
      <c r="CC5" s="345">
        <f>'Прогноз цен'!$G$22</f>
        <v>29.282000000000007</v>
      </c>
      <c r="CD5" s="345">
        <f>'Прогноз цен'!$G$22</f>
        <v>29.282000000000007</v>
      </c>
      <c r="CE5" s="345">
        <f>'Прогноз цен'!$G$22</f>
        <v>29.282000000000007</v>
      </c>
      <c r="CF5" s="345">
        <f>'Прогноз цен'!$G$22</f>
        <v>29.282000000000007</v>
      </c>
      <c r="CG5" s="345">
        <f>'Прогноз цен'!$G$22</f>
        <v>29.282000000000007</v>
      </c>
      <c r="CH5" s="345">
        <f>'Прогноз цен'!$G$22</f>
        <v>29.282000000000007</v>
      </c>
      <c r="CI5" s="345">
        <f>'Прогноз цен'!$G$22</f>
        <v>29.282000000000007</v>
      </c>
      <c r="CJ5" s="345">
        <f>'Прогноз цен'!$G$22</f>
        <v>29.282000000000007</v>
      </c>
      <c r="CK5" s="345">
        <f>'Прогноз цен'!$H$22</f>
        <v>32.210200000000007</v>
      </c>
      <c r="CL5" s="345">
        <f>'Прогноз цен'!$H$22</f>
        <v>32.210200000000007</v>
      </c>
      <c r="CM5" s="345">
        <f>'Прогноз цен'!$H$22</f>
        <v>32.210200000000007</v>
      </c>
      <c r="CN5" s="345">
        <f>'Прогноз цен'!$H$22</f>
        <v>32.210200000000007</v>
      </c>
      <c r="CO5" s="345">
        <f>'Прогноз цен'!$H$22</f>
        <v>32.210200000000007</v>
      </c>
      <c r="CP5" s="345">
        <f>'Прогноз цен'!$H$22</f>
        <v>32.210200000000007</v>
      </c>
      <c r="CQ5" s="345">
        <f>'Прогноз цен'!$H$22</f>
        <v>32.210200000000007</v>
      </c>
      <c r="CR5" s="345">
        <f>'Прогноз цен'!$H$22</f>
        <v>32.210200000000007</v>
      </c>
      <c r="CS5" s="345">
        <f>'Прогноз цен'!$H$22</f>
        <v>32.210200000000007</v>
      </c>
      <c r="CT5" s="345">
        <f>'Прогноз цен'!$H$22</f>
        <v>32.210200000000007</v>
      </c>
      <c r="CU5" s="345">
        <f>'Прогноз цен'!$H$22</f>
        <v>32.210200000000007</v>
      </c>
      <c r="CV5" s="345">
        <f>'Прогноз цен'!$H$22</f>
        <v>32.210200000000007</v>
      </c>
      <c r="CW5" s="345">
        <f>'Прогноз цен'!$I$22</f>
        <v>35.43122000000001</v>
      </c>
      <c r="CX5" s="345">
        <f>'Прогноз цен'!$I$22</f>
        <v>35.43122000000001</v>
      </c>
      <c r="CY5" s="345">
        <f>'Прогноз цен'!$I$22</f>
        <v>35.43122000000001</v>
      </c>
      <c r="CZ5" s="345">
        <f>'Прогноз цен'!$I$22</f>
        <v>35.43122000000001</v>
      </c>
      <c r="DA5" s="345">
        <f>'Прогноз цен'!$I$22</f>
        <v>35.43122000000001</v>
      </c>
      <c r="DB5" s="345">
        <f>'Прогноз цен'!$I$22</f>
        <v>35.43122000000001</v>
      </c>
      <c r="DC5" s="345">
        <f>'Прогноз цен'!$I$22</f>
        <v>35.43122000000001</v>
      </c>
      <c r="DD5" s="345">
        <f>'Прогноз цен'!$I$22</f>
        <v>35.43122000000001</v>
      </c>
      <c r="DE5" s="345">
        <f>'Прогноз цен'!$I$22</f>
        <v>35.43122000000001</v>
      </c>
      <c r="DF5" s="345">
        <f>'Прогноз цен'!$I$22</f>
        <v>35.43122000000001</v>
      </c>
      <c r="DG5" s="345">
        <f>'Прогноз цен'!$I$22</f>
        <v>35.43122000000001</v>
      </c>
      <c r="DH5" s="345">
        <f>'Прогноз цен'!$I$22</f>
        <v>35.43122000000001</v>
      </c>
      <c r="DI5" s="345">
        <f>'Прогноз цен'!$J$22</f>
        <v>38.974342000000014</v>
      </c>
      <c r="DJ5" s="345">
        <f>'Прогноз цен'!$J$22</f>
        <v>38.974342000000014</v>
      </c>
      <c r="DK5" s="345">
        <f>'Прогноз цен'!$J$22</f>
        <v>38.974342000000014</v>
      </c>
      <c r="DL5" s="345">
        <f>'Прогноз цен'!$J$22</f>
        <v>38.974342000000014</v>
      </c>
      <c r="DM5" s="345">
        <f>'Прогноз цен'!$J$22</f>
        <v>38.974342000000014</v>
      </c>
      <c r="DN5" s="345">
        <f>'Прогноз цен'!$J$22</f>
        <v>38.974342000000014</v>
      </c>
      <c r="DO5" s="345">
        <f>'Прогноз цен'!$J$22</f>
        <v>38.974342000000014</v>
      </c>
      <c r="DP5" s="345">
        <f>'Прогноз цен'!$J$22</f>
        <v>38.974342000000014</v>
      </c>
      <c r="DQ5" s="345">
        <f>'Прогноз цен'!$J$22</f>
        <v>38.974342000000014</v>
      </c>
      <c r="DR5" s="345">
        <f>'Прогноз цен'!$J$22</f>
        <v>38.974342000000014</v>
      </c>
      <c r="DS5" s="345">
        <f>'Прогноз цен'!$J$22</f>
        <v>38.974342000000014</v>
      </c>
      <c r="DT5" s="345">
        <f>'Прогноз цен'!$J$22</f>
        <v>38.974342000000014</v>
      </c>
      <c r="DU5" s="345">
        <f>'Прогноз цен'!$K$22</f>
        <v>42.871776200000021</v>
      </c>
      <c r="DV5" s="345">
        <f>'Прогноз цен'!$K$22</f>
        <v>42.871776200000021</v>
      </c>
      <c r="DW5" s="345">
        <f>'Прогноз цен'!$K$22</f>
        <v>42.871776200000021</v>
      </c>
      <c r="DX5" s="345">
        <f>'Прогноз цен'!$K$22</f>
        <v>42.871776200000021</v>
      </c>
      <c r="DY5" s="345">
        <f>'Прогноз цен'!$K$22</f>
        <v>42.871776200000021</v>
      </c>
      <c r="DZ5" s="345">
        <f>'Прогноз цен'!$K$22</f>
        <v>42.871776200000021</v>
      </c>
      <c r="EA5" s="345">
        <f>'Прогноз цен'!$K$22</f>
        <v>42.871776200000021</v>
      </c>
      <c r="EB5" s="345">
        <f>'Прогноз цен'!$K$22</f>
        <v>42.871776200000021</v>
      </c>
      <c r="EC5" s="345">
        <f>'Прогноз цен'!$K$22</f>
        <v>42.871776200000021</v>
      </c>
      <c r="ED5" s="345">
        <f>'Прогноз цен'!$K$22</f>
        <v>42.871776200000021</v>
      </c>
      <c r="EE5" s="345">
        <f>'Прогноз цен'!$K$22</f>
        <v>42.871776200000021</v>
      </c>
      <c r="EF5" s="345">
        <f>'Прогноз цен'!$K$22</f>
        <v>42.871776200000021</v>
      </c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</row>
    <row r="6" spans="1:193" s="362" customFormat="1" ht="13.15" customHeight="1">
      <c r="A6" s="360" t="s">
        <v>118</v>
      </c>
      <c r="B6" s="361" t="str">
        <f>Исх.данные!A59</f>
        <v>Представительские расходы</v>
      </c>
      <c r="C6" s="218" t="s">
        <v>165</v>
      </c>
      <c r="D6" s="345">
        <f t="shared" si="0"/>
        <v>128.59350000000003</v>
      </c>
      <c r="E6" s="345">
        <v>0</v>
      </c>
      <c r="F6" s="345">
        <v>0</v>
      </c>
      <c r="G6" s="345">
        <v>0</v>
      </c>
      <c r="H6" s="345">
        <v>0</v>
      </c>
      <c r="I6" s="345">
        <v>0</v>
      </c>
      <c r="J6" s="345">
        <v>0</v>
      </c>
      <c r="K6" s="345">
        <v>0</v>
      </c>
      <c r="L6" s="345">
        <v>0</v>
      </c>
      <c r="M6" s="345">
        <v>0</v>
      </c>
      <c r="N6" s="345">
        <v>0</v>
      </c>
      <c r="O6" s="345">
        <v>0</v>
      </c>
      <c r="P6" s="345">
        <v>0</v>
      </c>
      <c r="Q6" s="345">
        <v>0</v>
      </c>
      <c r="R6" s="345">
        <v>0</v>
      </c>
      <c r="S6" s="345">
        <v>0</v>
      </c>
      <c r="T6" s="345">
        <v>0</v>
      </c>
      <c r="U6" s="345">
        <v>0</v>
      </c>
      <c r="V6" s="345">
        <v>0</v>
      </c>
      <c r="W6" s="345">
        <v>0</v>
      </c>
      <c r="X6" s="345">
        <v>0</v>
      </c>
      <c r="Y6" s="345">
        <v>0</v>
      </c>
      <c r="Z6" s="345">
        <v>0</v>
      </c>
      <c r="AA6" s="345">
        <v>0</v>
      </c>
      <c r="AB6" s="345">
        <f>'Прогноз цен'!$B$23</f>
        <v>100</v>
      </c>
      <c r="AC6" s="345">
        <f>'Прогноз цен'!$C$23</f>
        <v>100</v>
      </c>
      <c r="AD6" s="345">
        <f>'Прогноз цен'!$C$23</f>
        <v>100</v>
      </c>
      <c r="AE6" s="345">
        <f>'Прогноз цен'!$C$23</f>
        <v>100</v>
      </c>
      <c r="AF6" s="345">
        <f>'Прогноз цен'!$C$23</f>
        <v>100</v>
      </c>
      <c r="AG6" s="345">
        <f>'Прогноз цен'!$C$23</f>
        <v>100</v>
      </c>
      <c r="AH6" s="345">
        <f>'Прогноз цен'!$C$23</f>
        <v>100</v>
      </c>
      <c r="AI6" s="345">
        <f>'Прогноз цен'!$C$23</f>
        <v>100</v>
      </c>
      <c r="AJ6" s="345">
        <f>'Прогноз цен'!$C$23</f>
        <v>100</v>
      </c>
      <c r="AK6" s="345">
        <f>'Прогноз цен'!$C$23</f>
        <v>100</v>
      </c>
      <c r="AL6" s="345">
        <f>'Прогноз цен'!$C$23</f>
        <v>100</v>
      </c>
      <c r="AM6" s="345">
        <f>'Прогноз цен'!$C$23</f>
        <v>100</v>
      </c>
      <c r="AN6" s="345">
        <f>'Прогноз цен'!$C$23</f>
        <v>100</v>
      </c>
      <c r="AO6" s="345">
        <f>'Прогноз цен'!$D$23</f>
        <v>110.00000000000001</v>
      </c>
      <c r="AP6" s="345">
        <f>'Прогноз цен'!$D$23</f>
        <v>110.00000000000001</v>
      </c>
      <c r="AQ6" s="345">
        <f>'Прогноз цен'!$D$23</f>
        <v>110.00000000000001</v>
      </c>
      <c r="AR6" s="345">
        <f>'Прогноз цен'!$D$23</f>
        <v>110.00000000000001</v>
      </c>
      <c r="AS6" s="345">
        <f>'Прогноз цен'!$D$23</f>
        <v>110.00000000000001</v>
      </c>
      <c r="AT6" s="345">
        <f>'Прогноз цен'!$D$23</f>
        <v>110.00000000000001</v>
      </c>
      <c r="AU6" s="345">
        <f>'Прогноз цен'!$D$23</f>
        <v>110.00000000000001</v>
      </c>
      <c r="AV6" s="345">
        <f>'Прогноз цен'!$D$23</f>
        <v>110.00000000000001</v>
      </c>
      <c r="AW6" s="345">
        <f>'Прогноз цен'!$D$23</f>
        <v>110.00000000000001</v>
      </c>
      <c r="AX6" s="345">
        <f>'Прогноз цен'!$D$23</f>
        <v>110.00000000000001</v>
      </c>
      <c r="AY6" s="345">
        <f>'Прогноз цен'!$D$23</f>
        <v>110.00000000000001</v>
      </c>
      <c r="AZ6" s="345">
        <f>'Прогноз цен'!$D$23</f>
        <v>110.00000000000001</v>
      </c>
      <c r="BA6" s="345">
        <f>'Прогноз цен'!$E$23</f>
        <v>121.00000000000003</v>
      </c>
      <c r="BB6" s="345">
        <f>'Прогноз цен'!$E$23</f>
        <v>121.00000000000003</v>
      </c>
      <c r="BC6" s="345">
        <f>'Прогноз цен'!$E$23</f>
        <v>121.00000000000003</v>
      </c>
      <c r="BD6" s="345">
        <f>'Прогноз цен'!$E$23</f>
        <v>121.00000000000003</v>
      </c>
      <c r="BE6" s="345">
        <f>'Прогноз цен'!$E$23</f>
        <v>121.00000000000003</v>
      </c>
      <c r="BF6" s="345">
        <f>'Прогноз цен'!$E$23</f>
        <v>121.00000000000003</v>
      </c>
      <c r="BG6" s="345">
        <f>'Прогноз цен'!$E$23</f>
        <v>121.00000000000003</v>
      </c>
      <c r="BH6" s="345">
        <f>'Прогноз цен'!$E$23</f>
        <v>121.00000000000003</v>
      </c>
      <c r="BI6" s="345">
        <f>'Прогноз цен'!$E$23</f>
        <v>121.00000000000003</v>
      </c>
      <c r="BJ6" s="345">
        <f>'Прогноз цен'!$E$23</f>
        <v>121.00000000000003</v>
      </c>
      <c r="BK6" s="345">
        <f>'Прогноз цен'!$E$23</f>
        <v>121.00000000000003</v>
      </c>
      <c r="BL6" s="345">
        <f>'Прогноз цен'!$E$23</f>
        <v>121.00000000000003</v>
      </c>
      <c r="BM6" s="345">
        <f>'Прогноз цен'!$F$23</f>
        <v>133.10000000000005</v>
      </c>
      <c r="BN6" s="345">
        <f>'Прогноз цен'!$F$23</f>
        <v>133.10000000000005</v>
      </c>
      <c r="BO6" s="345">
        <f>'Прогноз цен'!$F$23</f>
        <v>133.10000000000005</v>
      </c>
      <c r="BP6" s="345">
        <f>'Прогноз цен'!$F$23</f>
        <v>133.10000000000005</v>
      </c>
      <c r="BQ6" s="345">
        <f>'Прогноз цен'!$F$23</f>
        <v>133.10000000000005</v>
      </c>
      <c r="BR6" s="345">
        <f>'Прогноз цен'!$F$23</f>
        <v>133.10000000000005</v>
      </c>
      <c r="BS6" s="345">
        <f>'Прогноз цен'!$F$23</f>
        <v>133.10000000000005</v>
      </c>
      <c r="BT6" s="345">
        <f>'Прогноз цен'!$F$23</f>
        <v>133.10000000000005</v>
      </c>
      <c r="BU6" s="345">
        <f>'Прогноз цен'!$F$23</f>
        <v>133.10000000000005</v>
      </c>
      <c r="BV6" s="345">
        <f>'Прогноз цен'!$F$23</f>
        <v>133.10000000000005</v>
      </c>
      <c r="BW6" s="345">
        <f>'Прогноз цен'!$F$23</f>
        <v>133.10000000000005</v>
      </c>
      <c r="BX6" s="345">
        <f>'Прогноз цен'!$F$23</f>
        <v>133.10000000000005</v>
      </c>
      <c r="BY6" s="345">
        <f>'Прогноз цен'!$G$23</f>
        <v>146.41000000000008</v>
      </c>
      <c r="BZ6" s="345">
        <f>'Прогноз цен'!$G$23</f>
        <v>146.41000000000008</v>
      </c>
      <c r="CA6" s="345">
        <f>'Прогноз цен'!$G$23</f>
        <v>146.41000000000008</v>
      </c>
      <c r="CB6" s="345">
        <f>'Прогноз цен'!$G$23</f>
        <v>146.41000000000008</v>
      </c>
      <c r="CC6" s="345">
        <f>'Прогноз цен'!$G$23</f>
        <v>146.41000000000008</v>
      </c>
      <c r="CD6" s="345">
        <f>'Прогноз цен'!$G$23</f>
        <v>146.41000000000008</v>
      </c>
      <c r="CE6" s="345">
        <f>'Прогноз цен'!$G$23</f>
        <v>146.41000000000008</v>
      </c>
      <c r="CF6" s="345">
        <f>'Прогноз цен'!$G$23</f>
        <v>146.41000000000008</v>
      </c>
      <c r="CG6" s="345">
        <f>'Прогноз цен'!$G$23</f>
        <v>146.41000000000008</v>
      </c>
      <c r="CH6" s="345">
        <f>'Прогноз цен'!$G$23</f>
        <v>146.41000000000008</v>
      </c>
      <c r="CI6" s="345">
        <f>'Прогноз цен'!$G$23</f>
        <v>146.41000000000008</v>
      </c>
      <c r="CJ6" s="345">
        <f>'Прогноз цен'!$G$23</f>
        <v>146.41000000000008</v>
      </c>
      <c r="CK6" s="345">
        <f>'Прогноз цен'!$H$23</f>
        <v>161.0510000000001</v>
      </c>
      <c r="CL6" s="345">
        <f>'Прогноз цен'!$H$23</f>
        <v>161.0510000000001</v>
      </c>
      <c r="CM6" s="345">
        <f>'Прогноз цен'!$H$23</f>
        <v>161.0510000000001</v>
      </c>
      <c r="CN6" s="345">
        <f>'Прогноз цен'!$H$23</f>
        <v>161.0510000000001</v>
      </c>
      <c r="CO6" s="345">
        <f>'Прогноз цен'!$H$23</f>
        <v>161.0510000000001</v>
      </c>
      <c r="CP6" s="345">
        <f>'Прогноз цен'!$H$23</f>
        <v>161.0510000000001</v>
      </c>
      <c r="CQ6" s="345">
        <f>'Прогноз цен'!$H$23</f>
        <v>161.0510000000001</v>
      </c>
      <c r="CR6" s="345">
        <f>'Прогноз цен'!$H$23</f>
        <v>161.0510000000001</v>
      </c>
      <c r="CS6" s="345">
        <f>'Прогноз цен'!$H$23</f>
        <v>161.0510000000001</v>
      </c>
      <c r="CT6" s="345">
        <f>'Прогноз цен'!$H$23</f>
        <v>161.0510000000001</v>
      </c>
      <c r="CU6" s="345">
        <f>'Прогноз цен'!$H$23</f>
        <v>161.0510000000001</v>
      </c>
      <c r="CV6" s="345">
        <f>'Прогноз цен'!$H$23</f>
        <v>161.0510000000001</v>
      </c>
      <c r="CW6" s="345">
        <f>'Прогноз цен'!$I$23</f>
        <v>177.15610000000012</v>
      </c>
      <c r="CX6" s="345">
        <f>'Прогноз цен'!$I$23</f>
        <v>177.15610000000012</v>
      </c>
      <c r="CY6" s="345">
        <f>'Прогноз цен'!$I$23</f>
        <v>177.15610000000012</v>
      </c>
      <c r="CZ6" s="345">
        <f>'Прогноз цен'!$I$23</f>
        <v>177.15610000000012</v>
      </c>
      <c r="DA6" s="345">
        <f>'Прогноз цен'!$I$23</f>
        <v>177.15610000000012</v>
      </c>
      <c r="DB6" s="345">
        <f>'Прогноз цен'!$I$23</f>
        <v>177.15610000000012</v>
      </c>
      <c r="DC6" s="345">
        <f>'Прогноз цен'!$I$23</f>
        <v>177.15610000000012</v>
      </c>
      <c r="DD6" s="345">
        <f>'Прогноз цен'!$I$23</f>
        <v>177.15610000000012</v>
      </c>
      <c r="DE6" s="345">
        <f>'Прогноз цен'!$I$23</f>
        <v>177.15610000000012</v>
      </c>
      <c r="DF6" s="345">
        <f>'Прогноз цен'!$I$23</f>
        <v>177.15610000000012</v>
      </c>
      <c r="DG6" s="345">
        <f>'Прогноз цен'!$I$23</f>
        <v>177.15610000000012</v>
      </c>
      <c r="DH6" s="345">
        <f>'Прогноз цен'!$I$23</f>
        <v>177.15610000000012</v>
      </c>
      <c r="DI6" s="345">
        <f>'Прогноз цен'!$J$23</f>
        <v>194.87171000000015</v>
      </c>
      <c r="DJ6" s="345">
        <f>'Прогноз цен'!$J$23</f>
        <v>194.87171000000015</v>
      </c>
      <c r="DK6" s="345">
        <f>'Прогноз цен'!$J$23</f>
        <v>194.87171000000015</v>
      </c>
      <c r="DL6" s="345">
        <f>'Прогноз цен'!$J$23</f>
        <v>194.87171000000015</v>
      </c>
      <c r="DM6" s="345">
        <f>'Прогноз цен'!$J$23</f>
        <v>194.87171000000015</v>
      </c>
      <c r="DN6" s="345">
        <f>'Прогноз цен'!$J$23</f>
        <v>194.87171000000015</v>
      </c>
      <c r="DO6" s="345">
        <f>'Прогноз цен'!$J$23</f>
        <v>194.87171000000015</v>
      </c>
      <c r="DP6" s="345">
        <f>'Прогноз цен'!$J$23</f>
        <v>194.87171000000015</v>
      </c>
      <c r="DQ6" s="345">
        <f>'Прогноз цен'!$J$23</f>
        <v>194.87171000000015</v>
      </c>
      <c r="DR6" s="345">
        <f>'Прогноз цен'!$J$23</f>
        <v>194.87171000000015</v>
      </c>
      <c r="DS6" s="345">
        <f>'Прогноз цен'!$J$23</f>
        <v>194.87171000000015</v>
      </c>
      <c r="DT6" s="345">
        <f>'Прогноз цен'!$J$23</f>
        <v>194.87171000000015</v>
      </c>
      <c r="DU6" s="345">
        <f>'Прогноз цен'!$K$23</f>
        <v>214.3588810000002</v>
      </c>
      <c r="DV6" s="345">
        <f>'Прогноз цен'!$K$23</f>
        <v>214.3588810000002</v>
      </c>
      <c r="DW6" s="345">
        <f>'Прогноз цен'!$K$23</f>
        <v>214.3588810000002</v>
      </c>
      <c r="DX6" s="345">
        <f>'Прогноз цен'!$K$23</f>
        <v>214.3588810000002</v>
      </c>
      <c r="DY6" s="345">
        <f>'Прогноз цен'!$K$23</f>
        <v>214.3588810000002</v>
      </c>
      <c r="DZ6" s="345">
        <f>'Прогноз цен'!$K$23</f>
        <v>214.3588810000002</v>
      </c>
      <c r="EA6" s="345">
        <f>'Прогноз цен'!$K$23</f>
        <v>214.3588810000002</v>
      </c>
      <c r="EB6" s="345">
        <f>'Прогноз цен'!$K$23</f>
        <v>214.3588810000002</v>
      </c>
      <c r="EC6" s="345">
        <f>'Прогноз цен'!$K$23</f>
        <v>214.3588810000002</v>
      </c>
      <c r="ED6" s="345">
        <f>'Прогноз цен'!$K$23</f>
        <v>214.3588810000002</v>
      </c>
      <c r="EE6" s="345">
        <f>'Прогноз цен'!$K$23</f>
        <v>214.3588810000002</v>
      </c>
      <c r="EF6" s="345">
        <f>'Прогноз цен'!$K$23</f>
        <v>214.3588810000002</v>
      </c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</row>
    <row r="7" spans="1:193" s="362" customFormat="1" ht="13.15" customHeight="1">
      <c r="A7" s="360" t="s">
        <v>139</v>
      </c>
      <c r="B7" s="361" t="str">
        <f>Исх.данные!A60</f>
        <v>Рекламные расходы</v>
      </c>
      <c r="C7" s="218" t="s">
        <v>165</v>
      </c>
      <c r="D7" s="345">
        <f t="shared" si="0"/>
        <v>19.289025000000024</v>
      </c>
      <c r="E7" s="345">
        <v>0</v>
      </c>
      <c r="F7" s="345">
        <v>0</v>
      </c>
      <c r="G7" s="345">
        <v>0</v>
      </c>
      <c r="H7" s="345">
        <v>0</v>
      </c>
      <c r="I7" s="345">
        <v>0</v>
      </c>
      <c r="J7" s="345">
        <v>0</v>
      </c>
      <c r="K7" s="345">
        <v>0</v>
      </c>
      <c r="L7" s="345">
        <v>0</v>
      </c>
      <c r="M7" s="345">
        <v>0</v>
      </c>
      <c r="N7" s="345">
        <v>0</v>
      </c>
      <c r="O7" s="345">
        <v>0</v>
      </c>
      <c r="P7" s="345">
        <v>0</v>
      </c>
      <c r="Q7" s="345">
        <v>0</v>
      </c>
      <c r="R7" s="345">
        <v>0</v>
      </c>
      <c r="S7" s="345">
        <v>0</v>
      </c>
      <c r="T7" s="345">
        <v>0</v>
      </c>
      <c r="U7" s="345">
        <v>0</v>
      </c>
      <c r="V7" s="345">
        <v>0</v>
      </c>
      <c r="W7" s="345">
        <v>0</v>
      </c>
      <c r="X7" s="345">
        <v>0</v>
      </c>
      <c r="Y7" s="345">
        <v>0</v>
      </c>
      <c r="Z7" s="345">
        <v>0</v>
      </c>
      <c r="AA7" s="345">
        <f>'Прогноз цен'!$B$24</f>
        <v>15</v>
      </c>
      <c r="AB7" s="345">
        <f>'Прогноз цен'!$B$24</f>
        <v>15</v>
      </c>
      <c r="AC7" s="345">
        <f>'Прогноз цен'!$C$24</f>
        <v>15</v>
      </c>
      <c r="AD7" s="345">
        <f>'Прогноз цен'!$C$24</f>
        <v>15</v>
      </c>
      <c r="AE7" s="345">
        <f>'Прогноз цен'!$C$24</f>
        <v>15</v>
      </c>
      <c r="AF7" s="345">
        <f>'Прогноз цен'!$C$24</f>
        <v>15</v>
      </c>
      <c r="AG7" s="345">
        <f>'Прогноз цен'!$C$24</f>
        <v>15</v>
      </c>
      <c r="AH7" s="345">
        <f>'Прогноз цен'!$C$24</f>
        <v>15</v>
      </c>
      <c r="AI7" s="345">
        <f>'Прогноз цен'!$C$24</f>
        <v>15</v>
      </c>
      <c r="AJ7" s="345">
        <f>'Прогноз цен'!$C$24</f>
        <v>15</v>
      </c>
      <c r="AK7" s="345">
        <f>'Прогноз цен'!$C$24</f>
        <v>15</v>
      </c>
      <c r="AL7" s="345">
        <f>'Прогноз цен'!$C$24</f>
        <v>15</v>
      </c>
      <c r="AM7" s="345">
        <f>'Прогноз цен'!$C$24</f>
        <v>15</v>
      </c>
      <c r="AN7" s="345">
        <f>'Прогноз цен'!$C$24</f>
        <v>15</v>
      </c>
      <c r="AO7" s="345">
        <f>'Прогноз цен'!$D$24</f>
        <v>16.5</v>
      </c>
      <c r="AP7" s="345">
        <f>'Прогноз цен'!$D$24</f>
        <v>16.5</v>
      </c>
      <c r="AQ7" s="345">
        <f>'Прогноз цен'!$D$24</f>
        <v>16.5</v>
      </c>
      <c r="AR7" s="345">
        <f>'Прогноз цен'!$D$24</f>
        <v>16.5</v>
      </c>
      <c r="AS7" s="345">
        <f>'Прогноз цен'!$D$24</f>
        <v>16.5</v>
      </c>
      <c r="AT7" s="345">
        <f>'Прогноз цен'!$D$24</f>
        <v>16.5</v>
      </c>
      <c r="AU7" s="345">
        <f>'Прогноз цен'!$D$24</f>
        <v>16.5</v>
      </c>
      <c r="AV7" s="345">
        <f>'Прогноз цен'!$D$24</f>
        <v>16.5</v>
      </c>
      <c r="AW7" s="345">
        <f>'Прогноз цен'!$D$24</f>
        <v>16.5</v>
      </c>
      <c r="AX7" s="345">
        <f>'Прогноз цен'!$D$24</f>
        <v>16.5</v>
      </c>
      <c r="AY7" s="345">
        <f>'Прогноз цен'!$D$24</f>
        <v>16.5</v>
      </c>
      <c r="AZ7" s="345">
        <f>'Прогноз цен'!$D$24</f>
        <v>16.5</v>
      </c>
      <c r="BA7" s="345">
        <f>'Прогноз цен'!$E$24</f>
        <v>18.150000000000002</v>
      </c>
      <c r="BB7" s="345">
        <f>'Прогноз цен'!$E$24</f>
        <v>18.150000000000002</v>
      </c>
      <c r="BC7" s="345">
        <f>'Прогноз цен'!$E$24</f>
        <v>18.150000000000002</v>
      </c>
      <c r="BD7" s="345">
        <f>'Прогноз цен'!$E$24</f>
        <v>18.150000000000002</v>
      </c>
      <c r="BE7" s="345">
        <f>'Прогноз цен'!$E$24</f>
        <v>18.150000000000002</v>
      </c>
      <c r="BF7" s="345">
        <f>'Прогноз цен'!$E$24</f>
        <v>18.150000000000002</v>
      </c>
      <c r="BG7" s="345">
        <f>'Прогноз цен'!$E$24</f>
        <v>18.150000000000002</v>
      </c>
      <c r="BH7" s="345">
        <f>'Прогноз цен'!$E$24</f>
        <v>18.150000000000002</v>
      </c>
      <c r="BI7" s="345">
        <f>'Прогноз цен'!$E$24</f>
        <v>18.150000000000002</v>
      </c>
      <c r="BJ7" s="345">
        <f>'Прогноз цен'!$E$24</f>
        <v>18.150000000000002</v>
      </c>
      <c r="BK7" s="345">
        <f>'Прогноз цен'!$E$24</f>
        <v>18.150000000000002</v>
      </c>
      <c r="BL7" s="345">
        <f>'Прогноз цен'!$E$24</f>
        <v>18.150000000000002</v>
      </c>
      <c r="BM7" s="345">
        <f>'Прогноз цен'!$F$24</f>
        <v>19.965000000000003</v>
      </c>
      <c r="BN7" s="345">
        <f>'Прогноз цен'!$F$24</f>
        <v>19.965000000000003</v>
      </c>
      <c r="BO7" s="345">
        <f>'Прогноз цен'!$F$24</f>
        <v>19.965000000000003</v>
      </c>
      <c r="BP7" s="345">
        <f>'Прогноз цен'!$F$24</f>
        <v>19.965000000000003</v>
      </c>
      <c r="BQ7" s="345">
        <f>'Прогноз цен'!$F$24</f>
        <v>19.965000000000003</v>
      </c>
      <c r="BR7" s="345">
        <f>'Прогноз цен'!$F$24</f>
        <v>19.965000000000003</v>
      </c>
      <c r="BS7" s="345">
        <f>'Прогноз цен'!$F$24</f>
        <v>19.965000000000003</v>
      </c>
      <c r="BT7" s="345">
        <f>'Прогноз цен'!$F$24</f>
        <v>19.965000000000003</v>
      </c>
      <c r="BU7" s="345">
        <f>'Прогноз цен'!$F$24</f>
        <v>19.965000000000003</v>
      </c>
      <c r="BV7" s="345">
        <f>'Прогноз цен'!$F$24</f>
        <v>19.965000000000003</v>
      </c>
      <c r="BW7" s="345">
        <f>'Прогноз цен'!$F$24</f>
        <v>19.965000000000003</v>
      </c>
      <c r="BX7" s="345">
        <f>'Прогноз цен'!$F$24</f>
        <v>19.965000000000003</v>
      </c>
      <c r="BY7" s="345">
        <f>'Прогноз цен'!$G$24</f>
        <v>21.961500000000004</v>
      </c>
      <c r="BZ7" s="345">
        <f>'Прогноз цен'!$G$24</f>
        <v>21.961500000000004</v>
      </c>
      <c r="CA7" s="345">
        <f>'Прогноз цен'!$G$24</f>
        <v>21.961500000000004</v>
      </c>
      <c r="CB7" s="345">
        <f>'Прогноз цен'!$G$24</f>
        <v>21.961500000000004</v>
      </c>
      <c r="CC7" s="345">
        <f>'Прогноз цен'!$G$24</f>
        <v>21.961500000000004</v>
      </c>
      <c r="CD7" s="345">
        <f>'Прогноз цен'!$G$24</f>
        <v>21.961500000000004</v>
      </c>
      <c r="CE7" s="345">
        <f>'Прогноз цен'!$G$24</f>
        <v>21.961500000000004</v>
      </c>
      <c r="CF7" s="345">
        <f>'Прогноз цен'!$G$24</f>
        <v>21.961500000000004</v>
      </c>
      <c r="CG7" s="345">
        <f>'Прогноз цен'!$G$24</f>
        <v>21.961500000000004</v>
      </c>
      <c r="CH7" s="345">
        <f>'Прогноз цен'!$G$24</f>
        <v>21.961500000000004</v>
      </c>
      <c r="CI7" s="345">
        <f>'Прогноз цен'!$G$24</f>
        <v>21.961500000000004</v>
      </c>
      <c r="CJ7" s="345">
        <f>'Прогноз цен'!$G$24</f>
        <v>21.961500000000004</v>
      </c>
      <c r="CK7" s="345">
        <f>'Прогноз цен'!$H$24</f>
        <v>24.157650000000007</v>
      </c>
      <c r="CL7" s="345">
        <f>'Прогноз цен'!$H$24</f>
        <v>24.157650000000007</v>
      </c>
      <c r="CM7" s="345">
        <f>'Прогноз цен'!$H$24</f>
        <v>24.157650000000007</v>
      </c>
      <c r="CN7" s="345">
        <f>'Прогноз цен'!$H$24</f>
        <v>24.157650000000007</v>
      </c>
      <c r="CO7" s="345">
        <f>'Прогноз цен'!$H$24</f>
        <v>24.157650000000007</v>
      </c>
      <c r="CP7" s="345">
        <f>'Прогноз цен'!$H$24</f>
        <v>24.157650000000007</v>
      </c>
      <c r="CQ7" s="345">
        <f>'Прогноз цен'!$H$24</f>
        <v>24.157650000000007</v>
      </c>
      <c r="CR7" s="345">
        <f>'Прогноз цен'!$H$24</f>
        <v>24.157650000000007</v>
      </c>
      <c r="CS7" s="345">
        <f>'Прогноз цен'!$H$24</f>
        <v>24.157650000000007</v>
      </c>
      <c r="CT7" s="345">
        <f>'Прогноз цен'!$H$24</f>
        <v>24.157650000000007</v>
      </c>
      <c r="CU7" s="345">
        <f>'Прогноз цен'!$H$24</f>
        <v>24.157650000000007</v>
      </c>
      <c r="CV7" s="345">
        <f>'Прогноз цен'!$H$24</f>
        <v>24.157650000000007</v>
      </c>
      <c r="CW7" s="345">
        <f>'Прогноз цен'!$I$24</f>
        <v>26.573415000000011</v>
      </c>
      <c r="CX7" s="345">
        <f>'Прогноз цен'!$I$24</f>
        <v>26.573415000000011</v>
      </c>
      <c r="CY7" s="345">
        <f>'Прогноз цен'!$I$24</f>
        <v>26.573415000000011</v>
      </c>
      <c r="CZ7" s="345">
        <f>'Прогноз цен'!$I$24</f>
        <v>26.573415000000011</v>
      </c>
      <c r="DA7" s="345">
        <f>'Прогноз цен'!$I$24</f>
        <v>26.573415000000011</v>
      </c>
      <c r="DB7" s="345">
        <f>'Прогноз цен'!$I$24</f>
        <v>26.573415000000011</v>
      </c>
      <c r="DC7" s="345">
        <f>'Прогноз цен'!$I$24</f>
        <v>26.573415000000011</v>
      </c>
      <c r="DD7" s="345">
        <f>'Прогноз цен'!$I$24</f>
        <v>26.573415000000011</v>
      </c>
      <c r="DE7" s="345">
        <f>'Прогноз цен'!$I$24</f>
        <v>26.573415000000011</v>
      </c>
      <c r="DF7" s="345">
        <f>'Прогноз цен'!$I$24</f>
        <v>26.573415000000011</v>
      </c>
      <c r="DG7" s="345">
        <f>'Прогноз цен'!$I$24</f>
        <v>26.573415000000011</v>
      </c>
      <c r="DH7" s="345">
        <f>'Прогноз цен'!$I$24</f>
        <v>26.573415000000011</v>
      </c>
      <c r="DI7" s="345">
        <f>'Прогноз цен'!$J$24</f>
        <v>29.230756500000016</v>
      </c>
      <c r="DJ7" s="345">
        <f>'Прогноз цен'!$J$24</f>
        <v>29.230756500000016</v>
      </c>
      <c r="DK7" s="345">
        <f>'Прогноз цен'!$J$24</f>
        <v>29.230756500000016</v>
      </c>
      <c r="DL7" s="345">
        <f>'Прогноз цен'!$J$24</f>
        <v>29.230756500000016</v>
      </c>
      <c r="DM7" s="345">
        <f>'Прогноз цен'!$J$24</f>
        <v>29.230756500000016</v>
      </c>
      <c r="DN7" s="345">
        <f>'Прогноз цен'!$J$24</f>
        <v>29.230756500000016</v>
      </c>
      <c r="DO7" s="345">
        <f>'Прогноз цен'!$J$24</f>
        <v>29.230756500000016</v>
      </c>
      <c r="DP7" s="345">
        <f>'Прогноз цен'!$J$24</f>
        <v>29.230756500000016</v>
      </c>
      <c r="DQ7" s="345">
        <f>'Прогноз цен'!$J$24</f>
        <v>29.230756500000016</v>
      </c>
      <c r="DR7" s="345">
        <f>'Прогноз цен'!$J$24</f>
        <v>29.230756500000016</v>
      </c>
      <c r="DS7" s="345">
        <f>'Прогноз цен'!$J$24</f>
        <v>29.230756500000016</v>
      </c>
      <c r="DT7" s="345">
        <f>'Прогноз цен'!$J$24</f>
        <v>29.230756500000016</v>
      </c>
      <c r="DU7" s="345">
        <f>'Прогноз цен'!$K$24</f>
        <v>32.153832150000021</v>
      </c>
      <c r="DV7" s="345">
        <f>'Прогноз цен'!$K$24</f>
        <v>32.153832150000021</v>
      </c>
      <c r="DW7" s="345">
        <f>'Прогноз цен'!$K$24</f>
        <v>32.153832150000021</v>
      </c>
      <c r="DX7" s="345">
        <f>'Прогноз цен'!$K$24</f>
        <v>32.153832150000021</v>
      </c>
      <c r="DY7" s="345">
        <f>'Прогноз цен'!$K$24</f>
        <v>32.153832150000021</v>
      </c>
      <c r="DZ7" s="345">
        <f>'Прогноз цен'!$K$24</f>
        <v>32.153832150000021</v>
      </c>
      <c r="EA7" s="345">
        <f>'Прогноз цен'!$K$24</f>
        <v>32.153832150000021</v>
      </c>
      <c r="EB7" s="345">
        <f>'Прогноз цен'!$K$24</f>
        <v>32.153832150000021</v>
      </c>
      <c r="EC7" s="345">
        <f>'Прогноз цен'!$K$24</f>
        <v>32.153832150000021</v>
      </c>
      <c r="ED7" s="345">
        <f>'Прогноз цен'!$K$24</f>
        <v>32.153832150000021</v>
      </c>
      <c r="EE7" s="345">
        <f>'Прогноз цен'!$K$24</f>
        <v>32.153832150000021</v>
      </c>
      <c r="EF7" s="345">
        <f>'Прогноз цен'!$K$24</f>
        <v>32.153832150000021</v>
      </c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</row>
    <row r="8" spans="1:193" s="362" customFormat="1" ht="13.15" customHeight="1">
      <c r="A8" s="360" t="s">
        <v>140</v>
      </c>
      <c r="B8" s="361" t="str">
        <f>Исх.данные!A61</f>
        <v>Чистка площадки, уборка мусора</v>
      </c>
      <c r="C8" s="218" t="s">
        <v>165</v>
      </c>
      <c r="D8" s="345">
        <f t="shared" si="0"/>
        <v>192.89024999999978</v>
      </c>
      <c r="E8" s="345">
        <v>0</v>
      </c>
      <c r="F8" s="345">
        <v>0</v>
      </c>
      <c r="G8" s="345">
        <v>0</v>
      </c>
      <c r="H8" s="345">
        <v>0</v>
      </c>
      <c r="I8" s="345">
        <v>0</v>
      </c>
      <c r="J8" s="345">
        <v>0</v>
      </c>
      <c r="K8" s="345">
        <v>0</v>
      </c>
      <c r="L8" s="345">
        <v>0</v>
      </c>
      <c r="M8" s="345">
        <v>0</v>
      </c>
      <c r="N8" s="345">
        <v>0</v>
      </c>
      <c r="O8" s="345">
        <v>0</v>
      </c>
      <c r="P8" s="345">
        <v>0</v>
      </c>
      <c r="Q8" s="345">
        <v>0</v>
      </c>
      <c r="R8" s="345">
        <v>0</v>
      </c>
      <c r="S8" s="345">
        <v>0</v>
      </c>
      <c r="T8" s="345">
        <v>0</v>
      </c>
      <c r="U8" s="345">
        <v>0</v>
      </c>
      <c r="V8" s="345">
        <v>0</v>
      </c>
      <c r="W8" s="345">
        <v>0</v>
      </c>
      <c r="X8" s="345">
        <v>0</v>
      </c>
      <c r="Y8" s="345">
        <v>0</v>
      </c>
      <c r="Z8" s="345">
        <v>0</v>
      </c>
      <c r="AA8" s="345">
        <f>'Прогноз цен'!$B$25</f>
        <v>150</v>
      </c>
      <c r="AB8" s="345">
        <f>'Прогноз цен'!$B$25</f>
        <v>150</v>
      </c>
      <c r="AC8" s="345">
        <f>'Прогноз цен'!$C$25</f>
        <v>150</v>
      </c>
      <c r="AD8" s="345">
        <f>'Прогноз цен'!$C$25</f>
        <v>150</v>
      </c>
      <c r="AE8" s="345">
        <f>'Прогноз цен'!$C$25</f>
        <v>150</v>
      </c>
      <c r="AF8" s="345">
        <f>'Прогноз цен'!$C$25</f>
        <v>150</v>
      </c>
      <c r="AG8" s="345">
        <f>'Прогноз цен'!$C$25</f>
        <v>150</v>
      </c>
      <c r="AH8" s="345">
        <f>'Прогноз цен'!$C$25</f>
        <v>150</v>
      </c>
      <c r="AI8" s="345">
        <f>'Прогноз цен'!$C$25</f>
        <v>150</v>
      </c>
      <c r="AJ8" s="345">
        <f>'Прогноз цен'!$C$25</f>
        <v>150</v>
      </c>
      <c r="AK8" s="345">
        <f>'Прогноз цен'!$C$25</f>
        <v>150</v>
      </c>
      <c r="AL8" s="345">
        <f>'Прогноз цен'!$C$25</f>
        <v>150</v>
      </c>
      <c r="AM8" s="345">
        <f>'Прогноз цен'!$C$25</f>
        <v>150</v>
      </c>
      <c r="AN8" s="345">
        <f>'Прогноз цен'!$C$25</f>
        <v>150</v>
      </c>
      <c r="AO8" s="345">
        <f>'Прогноз цен'!$D$25</f>
        <v>165</v>
      </c>
      <c r="AP8" s="345">
        <f>'Прогноз цен'!$D$25</f>
        <v>165</v>
      </c>
      <c r="AQ8" s="345">
        <f>'Прогноз цен'!$D$25</f>
        <v>165</v>
      </c>
      <c r="AR8" s="345">
        <f>'Прогноз цен'!$D$25</f>
        <v>165</v>
      </c>
      <c r="AS8" s="345">
        <f>'Прогноз цен'!$D$25</f>
        <v>165</v>
      </c>
      <c r="AT8" s="345">
        <f>'Прогноз цен'!$D$25</f>
        <v>165</v>
      </c>
      <c r="AU8" s="345">
        <f>'Прогноз цен'!$D$25</f>
        <v>165</v>
      </c>
      <c r="AV8" s="345">
        <f>'Прогноз цен'!$D$25</f>
        <v>165</v>
      </c>
      <c r="AW8" s="345">
        <f>'Прогноз цен'!$D$25</f>
        <v>165</v>
      </c>
      <c r="AX8" s="345">
        <f>'Прогноз цен'!$D$25</f>
        <v>165</v>
      </c>
      <c r="AY8" s="345">
        <f>'Прогноз цен'!$D$25</f>
        <v>165</v>
      </c>
      <c r="AZ8" s="345">
        <f>'Прогноз цен'!$D$25</f>
        <v>165</v>
      </c>
      <c r="BA8" s="345">
        <f>'Прогноз цен'!$E$25</f>
        <v>181.50000000000003</v>
      </c>
      <c r="BB8" s="345">
        <f>'Прогноз цен'!$E$25</f>
        <v>181.50000000000003</v>
      </c>
      <c r="BC8" s="345">
        <f>'Прогноз цен'!$E$25</f>
        <v>181.50000000000003</v>
      </c>
      <c r="BD8" s="345">
        <f>'Прогноз цен'!$E$25</f>
        <v>181.50000000000003</v>
      </c>
      <c r="BE8" s="345">
        <f>'Прогноз цен'!$E$25</f>
        <v>181.50000000000003</v>
      </c>
      <c r="BF8" s="345">
        <f>'Прогноз цен'!$E$25</f>
        <v>181.50000000000003</v>
      </c>
      <c r="BG8" s="345">
        <f>'Прогноз цен'!$E$25</f>
        <v>181.50000000000003</v>
      </c>
      <c r="BH8" s="345">
        <f>'Прогноз цен'!$E$25</f>
        <v>181.50000000000003</v>
      </c>
      <c r="BI8" s="345">
        <f>'Прогноз цен'!$E$25</f>
        <v>181.50000000000003</v>
      </c>
      <c r="BJ8" s="345">
        <f>'Прогноз цен'!$E$25</f>
        <v>181.50000000000003</v>
      </c>
      <c r="BK8" s="345">
        <f>'Прогноз цен'!$E$25</f>
        <v>181.50000000000003</v>
      </c>
      <c r="BL8" s="345">
        <f>'Прогноз цен'!$E$25</f>
        <v>181.50000000000003</v>
      </c>
      <c r="BM8" s="345">
        <f>'Прогноз цен'!$F$25</f>
        <v>199.65000000000003</v>
      </c>
      <c r="BN8" s="345">
        <f>'Прогноз цен'!$F$25</f>
        <v>199.65000000000003</v>
      </c>
      <c r="BO8" s="345">
        <f>'Прогноз цен'!$F$25</f>
        <v>199.65000000000003</v>
      </c>
      <c r="BP8" s="345">
        <f>'Прогноз цен'!$F$25</f>
        <v>199.65000000000003</v>
      </c>
      <c r="BQ8" s="345">
        <f>'Прогноз цен'!$F$25</f>
        <v>199.65000000000003</v>
      </c>
      <c r="BR8" s="345">
        <f>'Прогноз цен'!$F$25</f>
        <v>199.65000000000003</v>
      </c>
      <c r="BS8" s="345">
        <f>'Прогноз цен'!$F$25</f>
        <v>199.65000000000003</v>
      </c>
      <c r="BT8" s="345">
        <f>'Прогноз цен'!$F$25</f>
        <v>199.65000000000003</v>
      </c>
      <c r="BU8" s="345">
        <f>'Прогноз цен'!$F$25</f>
        <v>199.65000000000003</v>
      </c>
      <c r="BV8" s="345">
        <f>'Прогноз цен'!$F$25</f>
        <v>199.65000000000003</v>
      </c>
      <c r="BW8" s="345">
        <f>'Прогноз цен'!$F$25</f>
        <v>199.65000000000003</v>
      </c>
      <c r="BX8" s="345">
        <f>'Прогноз цен'!$F$25</f>
        <v>199.65000000000003</v>
      </c>
      <c r="BY8" s="345">
        <f>'Прогноз цен'!$G$25</f>
        <v>219.61500000000007</v>
      </c>
      <c r="BZ8" s="345">
        <f>'Прогноз цен'!$G$25</f>
        <v>219.61500000000007</v>
      </c>
      <c r="CA8" s="345">
        <f>'Прогноз цен'!$G$25</f>
        <v>219.61500000000007</v>
      </c>
      <c r="CB8" s="345">
        <f>'Прогноз цен'!$G$25</f>
        <v>219.61500000000007</v>
      </c>
      <c r="CC8" s="345">
        <f>'Прогноз цен'!$G$25</f>
        <v>219.61500000000007</v>
      </c>
      <c r="CD8" s="345">
        <f>'Прогноз цен'!$G$25</f>
        <v>219.61500000000007</v>
      </c>
      <c r="CE8" s="345">
        <f>'Прогноз цен'!$G$25</f>
        <v>219.61500000000007</v>
      </c>
      <c r="CF8" s="345">
        <f>'Прогноз цен'!$G$25</f>
        <v>219.61500000000007</v>
      </c>
      <c r="CG8" s="345">
        <f>'Прогноз цен'!$G$25</f>
        <v>219.61500000000007</v>
      </c>
      <c r="CH8" s="345">
        <f>'Прогноз цен'!$G$25</f>
        <v>219.61500000000007</v>
      </c>
      <c r="CI8" s="345">
        <f>'Прогноз цен'!$G$25</f>
        <v>219.61500000000007</v>
      </c>
      <c r="CJ8" s="345">
        <f>'Прогноз цен'!$G$25</f>
        <v>219.61500000000007</v>
      </c>
      <c r="CK8" s="345">
        <f>'Прогноз цен'!$H$25</f>
        <v>241.5765000000001</v>
      </c>
      <c r="CL8" s="345">
        <f>'Прогноз цен'!$H$25</f>
        <v>241.5765000000001</v>
      </c>
      <c r="CM8" s="345">
        <f>'Прогноз цен'!$H$25</f>
        <v>241.5765000000001</v>
      </c>
      <c r="CN8" s="345">
        <f>'Прогноз цен'!$H$25</f>
        <v>241.5765000000001</v>
      </c>
      <c r="CO8" s="345">
        <f>'Прогноз цен'!$H$25</f>
        <v>241.5765000000001</v>
      </c>
      <c r="CP8" s="345">
        <f>'Прогноз цен'!$H$25</f>
        <v>241.5765000000001</v>
      </c>
      <c r="CQ8" s="345">
        <f>'Прогноз цен'!$H$25</f>
        <v>241.5765000000001</v>
      </c>
      <c r="CR8" s="345">
        <f>'Прогноз цен'!$H$25</f>
        <v>241.5765000000001</v>
      </c>
      <c r="CS8" s="345">
        <f>'Прогноз цен'!$H$25</f>
        <v>241.5765000000001</v>
      </c>
      <c r="CT8" s="345">
        <f>'Прогноз цен'!$H$25</f>
        <v>241.5765000000001</v>
      </c>
      <c r="CU8" s="345">
        <f>'Прогноз цен'!$H$25</f>
        <v>241.5765000000001</v>
      </c>
      <c r="CV8" s="345">
        <f>'Прогноз цен'!$H$25</f>
        <v>241.5765000000001</v>
      </c>
      <c r="CW8" s="345">
        <f>'Прогноз цен'!$I$25</f>
        <v>265.73415000000011</v>
      </c>
      <c r="CX8" s="345">
        <f>'Прогноз цен'!$I$25</f>
        <v>265.73415000000011</v>
      </c>
      <c r="CY8" s="345">
        <f>'Прогноз цен'!$I$25</f>
        <v>265.73415000000011</v>
      </c>
      <c r="CZ8" s="345">
        <f>'Прогноз цен'!$I$25</f>
        <v>265.73415000000011</v>
      </c>
      <c r="DA8" s="345">
        <f>'Прогноз цен'!$I$25</f>
        <v>265.73415000000011</v>
      </c>
      <c r="DB8" s="345">
        <f>'Прогноз цен'!$I$25</f>
        <v>265.73415000000011</v>
      </c>
      <c r="DC8" s="345">
        <f>'Прогноз цен'!$I$25</f>
        <v>265.73415000000011</v>
      </c>
      <c r="DD8" s="345">
        <f>'Прогноз цен'!$I$25</f>
        <v>265.73415000000011</v>
      </c>
      <c r="DE8" s="345">
        <f>'Прогноз цен'!$I$25</f>
        <v>265.73415000000011</v>
      </c>
      <c r="DF8" s="345">
        <f>'Прогноз цен'!$I$25</f>
        <v>265.73415000000011</v>
      </c>
      <c r="DG8" s="345">
        <f>'Прогноз цен'!$I$25</f>
        <v>265.73415000000011</v>
      </c>
      <c r="DH8" s="345">
        <f>'Прогноз цен'!$I$25</f>
        <v>265.73415000000011</v>
      </c>
      <c r="DI8" s="345">
        <f>'Прогноз цен'!$J$25</f>
        <v>292.30756500000012</v>
      </c>
      <c r="DJ8" s="345">
        <f>'Прогноз цен'!$J$25</f>
        <v>292.30756500000012</v>
      </c>
      <c r="DK8" s="345">
        <f>'Прогноз цен'!$J$25</f>
        <v>292.30756500000012</v>
      </c>
      <c r="DL8" s="345">
        <f>'Прогноз цен'!$J$25</f>
        <v>292.30756500000012</v>
      </c>
      <c r="DM8" s="345">
        <f>'Прогноз цен'!$J$25</f>
        <v>292.30756500000012</v>
      </c>
      <c r="DN8" s="345">
        <f>'Прогноз цен'!$J$25</f>
        <v>292.30756500000012</v>
      </c>
      <c r="DO8" s="345">
        <f>'Прогноз цен'!$J$25</f>
        <v>292.30756500000012</v>
      </c>
      <c r="DP8" s="345">
        <f>'Прогноз цен'!$J$25</f>
        <v>292.30756500000012</v>
      </c>
      <c r="DQ8" s="345">
        <f>'Прогноз цен'!$J$25</f>
        <v>292.30756500000012</v>
      </c>
      <c r="DR8" s="345">
        <f>'Прогноз цен'!$J$25</f>
        <v>292.30756500000012</v>
      </c>
      <c r="DS8" s="345">
        <f>'Прогноз цен'!$J$25</f>
        <v>292.30756500000012</v>
      </c>
      <c r="DT8" s="345">
        <f>'Прогноз цен'!$J$25</f>
        <v>292.30756500000012</v>
      </c>
      <c r="DU8" s="345">
        <f>'Прогноз цен'!$K$25</f>
        <v>321.53832150000017</v>
      </c>
      <c r="DV8" s="345">
        <f>'Прогноз цен'!$K$25</f>
        <v>321.53832150000017</v>
      </c>
      <c r="DW8" s="345">
        <f>'Прогноз цен'!$K$25</f>
        <v>321.53832150000017</v>
      </c>
      <c r="DX8" s="345">
        <f>'Прогноз цен'!$K$25</f>
        <v>321.53832150000017</v>
      </c>
      <c r="DY8" s="345">
        <f>'Прогноз цен'!$K$25</f>
        <v>321.53832150000017</v>
      </c>
      <c r="DZ8" s="345">
        <f>'Прогноз цен'!$K$25</f>
        <v>321.53832150000017</v>
      </c>
      <c r="EA8" s="345">
        <f>'Прогноз цен'!$K$25</f>
        <v>321.53832150000017</v>
      </c>
      <c r="EB8" s="345">
        <f>'Прогноз цен'!$K$25</f>
        <v>321.53832150000017</v>
      </c>
      <c r="EC8" s="345">
        <f>'Прогноз цен'!$K$25</f>
        <v>321.53832150000017</v>
      </c>
      <c r="ED8" s="345">
        <f>'Прогноз цен'!$K$25</f>
        <v>321.53832150000017</v>
      </c>
      <c r="EE8" s="345">
        <f>'Прогноз цен'!$K$25</f>
        <v>321.53832150000017</v>
      </c>
      <c r="EF8" s="345">
        <f>'Прогноз цен'!$K$25</f>
        <v>321.53832150000017</v>
      </c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</row>
    <row r="9" spans="1:193" s="362" customFormat="1" ht="13.15" customHeight="1">
      <c r="A9" s="360" t="s">
        <v>224</v>
      </c>
      <c r="B9" s="361" t="str">
        <f>Исх.данные!A62</f>
        <v>Коммунальные расходы</v>
      </c>
      <c r="C9" s="218" t="s">
        <v>165</v>
      </c>
      <c r="D9" s="345">
        <f t="shared" si="0"/>
        <v>258.23725617127752</v>
      </c>
      <c r="E9" s="345">
        <v>0</v>
      </c>
      <c r="F9" s="345">
        <v>0</v>
      </c>
      <c r="G9" s="345">
        <v>0</v>
      </c>
      <c r="H9" s="345">
        <v>0</v>
      </c>
      <c r="I9" s="345">
        <v>0</v>
      </c>
      <c r="J9" s="345">
        <v>0</v>
      </c>
      <c r="K9" s="345">
        <v>0</v>
      </c>
      <c r="L9" s="345">
        <v>0</v>
      </c>
      <c r="M9" s="345">
        <v>0</v>
      </c>
      <c r="N9" s="345">
        <v>0</v>
      </c>
      <c r="O9" s="345">
        <v>0</v>
      </c>
      <c r="P9" s="345">
        <v>0</v>
      </c>
      <c r="Q9" s="345">
        <v>0</v>
      </c>
      <c r="R9" s="345">
        <v>0</v>
      </c>
      <c r="S9" s="345">
        <v>0</v>
      </c>
      <c r="T9" s="345">
        <v>0</v>
      </c>
      <c r="U9" s="345">
        <v>0</v>
      </c>
      <c r="V9" s="345">
        <v>0</v>
      </c>
      <c r="W9" s="345">
        <v>0</v>
      </c>
      <c r="X9" s="345">
        <v>0</v>
      </c>
      <c r="Y9" s="345">
        <v>0</v>
      </c>
      <c r="Z9" s="345">
        <v>0</v>
      </c>
      <c r="AA9" s="345">
        <f>'Прогноз цен'!$B$32</f>
        <v>115</v>
      </c>
      <c r="AB9" s="345">
        <f>'Прогноз цен'!$B$32</f>
        <v>115</v>
      </c>
      <c r="AC9" s="345">
        <f>'Прогноз цен'!$C$32</f>
        <v>115</v>
      </c>
      <c r="AD9" s="345">
        <f>'Прогноз цен'!$C$32</f>
        <v>115</v>
      </c>
      <c r="AE9" s="345">
        <f>'Прогноз цен'!$C$32</f>
        <v>115</v>
      </c>
      <c r="AF9" s="345">
        <f>'Прогноз цен'!$C$32</f>
        <v>115</v>
      </c>
      <c r="AG9" s="345">
        <f>'Прогноз цен'!$C$32</f>
        <v>115</v>
      </c>
      <c r="AH9" s="345">
        <f>'Прогноз цен'!$C$32</f>
        <v>115</v>
      </c>
      <c r="AI9" s="345">
        <f>'Прогноз цен'!$C$32</f>
        <v>115</v>
      </c>
      <c r="AJ9" s="345">
        <f>'Прогноз цен'!$C$32</f>
        <v>115</v>
      </c>
      <c r="AK9" s="345">
        <f>'Прогноз цен'!$C$32</f>
        <v>115</v>
      </c>
      <c r="AL9" s="345">
        <f>'Прогноз цен'!$C$32</f>
        <v>115</v>
      </c>
      <c r="AM9" s="345">
        <f>'Прогноз цен'!$C$32*2</f>
        <v>230</v>
      </c>
      <c r="AN9" s="345">
        <f>'Прогноз цен'!$C$32*2</f>
        <v>230</v>
      </c>
      <c r="AO9" s="345">
        <f>'Прогноз цен'!$D$32*2</f>
        <v>246.10000000000002</v>
      </c>
      <c r="AP9" s="345">
        <f>'Прогноз цен'!$D$32*2</f>
        <v>246.10000000000002</v>
      </c>
      <c r="AQ9" s="345">
        <f>'Прогноз цен'!$D$32*2</f>
        <v>246.10000000000002</v>
      </c>
      <c r="AR9" s="345">
        <f>'Прогноз цен'!$D$32*2</f>
        <v>246.10000000000002</v>
      </c>
      <c r="AS9" s="345">
        <f>'Прогноз цен'!$D$32*2</f>
        <v>246.10000000000002</v>
      </c>
      <c r="AT9" s="345">
        <f>'Прогноз цен'!$D$32*2</f>
        <v>246.10000000000002</v>
      </c>
      <c r="AU9" s="345">
        <f>'Прогноз цен'!$D$32*2</f>
        <v>246.10000000000002</v>
      </c>
      <c r="AV9" s="345">
        <f>'Прогноз цен'!$D$32*2</f>
        <v>246.10000000000002</v>
      </c>
      <c r="AW9" s="345">
        <f>'Прогноз цен'!$D$32*2</f>
        <v>246.10000000000002</v>
      </c>
      <c r="AX9" s="345">
        <f>'Прогноз цен'!$D$32*2</f>
        <v>246.10000000000002</v>
      </c>
      <c r="AY9" s="345">
        <f>'Прогноз цен'!$D$32*2</f>
        <v>246.10000000000002</v>
      </c>
      <c r="AZ9" s="345">
        <f>'Прогноз цен'!$D$32*2</f>
        <v>246.10000000000002</v>
      </c>
      <c r="BA9" s="345">
        <f>'Прогноз цен'!$E$32*2</f>
        <v>263.32700000000006</v>
      </c>
      <c r="BB9" s="345">
        <f>'Прогноз цен'!$E$32*2</f>
        <v>263.32700000000006</v>
      </c>
      <c r="BC9" s="345">
        <f>'Прогноз цен'!$E$32*2</f>
        <v>263.32700000000006</v>
      </c>
      <c r="BD9" s="345">
        <f>'Прогноз цен'!$E$32*2</f>
        <v>263.32700000000006</v>
      </c>
      <c r="BE9" s="345">
        <f>'Прогноз цен'!$E$32*2</f>
        <v>263.32700000000006</v>
      </c>
      <c r="BF9" s="345">
        <f>'Прогноз цен'!$E$32*2</f>
        <v>263.32700000000006</v>
      </c>
      <c r="BG9" s="345">
        <f>'Прогноз цен'!$E$32*2</f>
        <v>263.32700000000006</v>
      </c>
      <c r="BH9" s="345">
        <f>'Прогноз цен'!$E$32*2</f>
        <v>263.32700000000006</v>
      </c>
      <c r="BI9" s="345">
        <f>'Прогноз цен'!$E$32*2</f>
        <v>263.32700000000006</v>
      </c>
      <c r="BJ9" s="345">
        <f>'Прогноз цен'!$E$32*2</f>
        <v>263.32700000000006</v>
      </c>
      <c r="BK9" s="345">
        <f>'Прогноз цен'!$E$32*2</f>
        <v>263.32700000000006</v>
      </c>
      <c r="BL9" s="345">
        <f>'Прогноз цен'!$E$32*2</f>
        <v>263.32700000000006</v>
      </c>
      <c r="BM9" s="345">
        <f>'Прогноз цен'!$F$32*2</f>
        <v>281.7598900000001</v>
      </c>
      <c r="BN9" s="345">
        <f>'Прогноз цен'!$F$32*2</f>
        <v>281.7598900000001</v>
      </c>
      <c r="BO9" s="345">
        <f>'Прогноз цен'!$F$32*2</f>
        <v>281.7598900000001</v>
      </c>
      <c r="BP9" s="345">
        <f>'Прогноз цен'!$F$32*2</f>
        <v>281.7598900000001</v>
      </c>
      <c r="BQ9" s="345">
        <f>'Прогноз цен'!$F$32*2</f>
        <v>281.7598900000001</v>
      </c>
      <c r="BR9" s="345">
        <f>'Прогноз цен'!$F$32*2</f>
        <v>281.7598900000001</v>
      </c>
      <c r="BS9" s="345">
        <f>'Прогноз цен'!$F$32*2</f>
        <v>281.7598900000001</v>
      </c>
      <c r="BT9" s="345">
        <f>'Прогноз цен'!$F$32*2</f>
        <v>281.7598900000001</v>
      </c>
      <c r="BU9" s="345">
        <f>'Прогноз цен'!$F$32*2</f>
        <v>281.7598900000001</v>
      </c>
      <c r="BV9" s="345">
        <f>'Прогноз цен'!$F$32*2</f>
        <v>281.7598900000001</v>
      </c>
      <c r="BW9" s="345">
        <f>'Прогноз цен'!$F$32*2</f>
        <v>281.7598900000001</v>
      </c>
      <c r="BX9" s="345">
        <f>'Прогноз цен'!$F$32*2</f>
        <v>281.7598900000001</v>
      </c>
      <c r="BY9" s="345">
        <f>'Прогноз цен'!$G$32*2</f>
        <v>301.48308230000015</v>
      </c>
      <c r="BZ9" s="345">
        <f>'Прогноз цен'!$G$32*2</f>
        <v>301.48308230000015</v>
      </c>
      <c r="CA9" s="345">
        <f>'Прогноз цен'!$G$32*2</f>
        <v>301.48308230000015</v>
      </c>
      <c r="CB9" s="345">
        <f>'Прогноз цен'!$G$32*2</f>
        <v>301.48308230000015</v>
      </c>
      <c r="CC9" s="345">
        <f>'Прогноз цен'!$G$32*2</f>
        <v>301.48308230000015</v>
      </c>
      <c r="CD9" s="345">
        <f>'Прогноз цен'!$G$32*2</f>
        <v>301.48308230000015</v>
      </c>
      <c r="CE9" s="345">
        <f>'Прогноз цен'!$G$32*2</f>
        <v>301.48308230000015</v>
      </c>
      <c r="CF9" s="345">
        <f>'Прогноз цен'!$G$32*2</f>
        <v>301.48308230000015</v>
      </c>
      <c r="CG9" s="345">
        <f>'Прогноз цен'!$G$32*2</f>
        <v>301.48308230000015</v>
      </c>
      <c r="CH9" s="345">
        <f>'Прогноз цен'!$G$32*2</f>
        <v>301.48308230000015</v>
      </c>
      <c r="CI9" s="345">
        <f>'Прогноз цен'!$G$32*2</f>
        <v>301.48308230000015</v>
      </c>
      <c r="CJ9" s="345">
        <f>'Прогноз цен'!$G$32*2</f>
        <v>301.48308230000015</v>
      </c>
      <c r="CK9" s="345">
        <f>'Прогноз цен'!$H$32*2</f>
        <v>322.58689806100017</v>
      </c>
      <c r="CL9" s="345">
        <f>'Прогноз цен'!$H$32*2</f>
        <v>322.58689806100017</v>
      </c>
      <c r="CM9" s="345">
        <f>'Прогноз цен'!$H$32*2</f>
        <v>322.58689806100017</v>
      </c>
      <c r="CN9" s="345">
        <f>'Прогноз цен'!$H$32*2</f>
        <v>322.58689806100017</v>
      </c>
      <c r="CO9" s="345">
        <f>'Прогноз цен'!$H$32*2</f>
        <v>322.58689806100017</v>
      </c>
      <c r="CP9" s="345">
        <f>'Прогноз цен'!$H$32*2</f>
        <v>322.58689806100017</v>
      </c>
      <c r="CQ9" s="345">
        <f>'Прогноз цен'!$H$32*2</f>
        <v>322.58689806100017</v>
      </c>
      <c r="CR9" s="345">
        <f>'Прогноз цен'!$H$32*2</f>
        <v>322.58689806100017</v>
      </c>
      <c r="CS9" s="345">
        <f>'Прогноз цен'!$H$32*2</f>
        <v>322.58689806100017</v>
      </c>
      <c r="CT9" s="345">
        <f>'Прогноз цен'!$H$32*2</f>
        <v>322.58689806100017</v>
      </c>
      <c r="CU9" s="345">
        <f>'Прогноз цен'!$H$32*2</f>
        <v>322.58689806100017</v>
      </c>
      <c r="CV9" s="345">
        <f>'Прогноз цен'!$H$32*2</f>
        <v>322.58689806100017</v>
      </c>
      <c r="CW9" s="345">
        <f>'Прогноз цен'!$I$32*2</f>
        <v>345.16798092527023</v>
      </c>
      <c r="CX9" s="345">
        <f>'Прогноз цен'!$I$32*2</f>
        <v>345.16798092527023</v>
      </c>
      <c r="CY9" s="345">
        <f>'Прогноз цен'!$I$32*2</f>
        <v>345.16798092527023</v>
      </c>
      <c r="CZ9" s="345">
        <f>'Прогноз цен'!$I$32*2</f>
        <v>345.16798092527023</v>
      </c>
      <c r="DA9" s="345">
        <f>'Прогноз цен'!$I$32*2</f>
        <v>345.16798092527023</v>
      </c>
      <c r="DB9" s="345">
        <f>'Прогноз цен'!$I$32*2</f>
        <v>345.16798092527023</v>
      </c>
      <c r="DC9" s="345">
        <f>'Прогноз цен'!$I$32*2</f>
        <v>345.16798092527023</v>
      </c>
      <c r="DD9" s="345">
        <f>'Прогноз цен'!$I$32*2</f>
        <v>345.16798092527023</v>
      </c>
      <c r="DE9" s="345">
        <f>'Прогноз цен'!$I$32*2</f>
        <v>345.16798092527023</v>
      </c>
      <c r="DF9" s="345">
        <f>'Прогноз цен'!$I$32*2</f>
        <v>345.16798092527023</v>
      </c>
      <c r="DG9" s="345">
        <f>'Прогноз цен'!$I$32*2</f>
        <v>345.16798092527023</v>
      </c>
      <c r="DH9" s="345">
        <f>'Прогноз цен'!$I$32*2</f>
        <v>345.16798092527023</v>
      </c>
      <c r="DI9" s="345">
        <f>'Прогноз цен'!$J$32*2</f>
        <v>369.32973959003914</v>
      </c>
      <c r="DJ9" s="345">
        <f>'Прогноз цен'!$J$32*2</f>
        <v>369.32973959003914</v>
      </c>
      <c r="DK9" s="345">
        <f>'Прогноз цен'!$J$32*2</f>
        <v>369.32973959003914</v>
      </c>
      <c r="DL9" s="345">
        <f>'Прогноз цен'!$J$32*2</f>
        <v>369.32973959003914</v>
      </c>
      <c r="DM9" s="345">
        <f>'Прогноз цен'!$J$32*2</f>
        <v>369.32973959003914</v>
      </c>
      <c r="DN9" s="345">
        <f>'Прогноз цен'!$J$32*2</f>
        <v>369.32973959003914</v>
      </c>
      <c r="DO9" s="345">
        <f>'Прогноз цен'!$J$32*2</f>
        <v>369.32973959003914</v>
      </c>
      <c r="DP9" s="345">
        <f>'Прогноз цен'!$J$32*2</f>
        <v>369.32973959003914</v>
      </c>
      <c r="DQ9" s="345">
        <f>'Прогноз цен'!$J$32*2</f>
        <v>369.32973959003914</v>
      </c>
      <c r="DR9" s="345">
        <f>'Прогноз цен'!$J$32*2</f>
        <v>369.32973959003914</v>
      </c>
      <c r="DS9" s="345">
        <f>'Прогноз цен'!$J$32*2</f>
        <v>369.32973959003914</v>
      </c>
      <c r="DT9" s="345">
        <f>'Прогноз цен'!$J$32*2</f>
        <v>369.32973959003914</v>
      </c>
      <c r="DU9" s="345">
        <f>'Прогноз цен'!$K$32*2</f>
        <v>395.18282136134189</v>
      </c>
      <c r="DV9" s="345">
        <f>'Прогноз цен'!$K$32*2</f>
        <v>395.18282136134189</v>
      </c>
      <c r="DW9" s="345">
        <f>'Прогноз цен'!$K$32*2</f>
        <v>395.18282136134189</v>
      </c>
      <c r="DX9" s="345">
        <f>'Прогноз цен'!$K$32*2</f>
        <v>395.18282136134189</v>
      </c>
      <c r="DY9" s="345">
        <f>'Прогноз цен'!$K$32*2</f>
        <v>395.18282136134189</v>
      </c>
      <c r="DZ9" s="345">
        <f>'Прогноз цен'!$K$32*2</f>
        <v>395.18282136134189</v>
      </c>
      <c r="EA9" s="345">
        <f>'Прогноз цен'!$K$32*2</f>
        <v>395.18282136134189</v>
      </c>
      <c r="EB9" s="345">
        <f>'Прогноз цен'!$K$32*2</f>
        <v>395.18282136134189</v>
      </c>
      <c r="EC9" s="345">
        <f>'Прогноз цен'!$K$32*2</f>
        <v>395.18282136134189</v>
      </c>
      <c r="ED9" s="345">
        <f>'Прогноз цен'!$K$32*2</f>
        <v>395.18282136134189</v>
      </c>
      <c r="EE9" s="345">
        <f>'Прогноз цен'!$K$32*2</f>
        <v>395.18282136134189</v>
      </c>
      <c r="EF9" s="345">
        <f>'Прогноз цен'!$K$32*2</f>
        <v>395.18282136134189</v>
      </c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</row>
    <row r="10" spans="1:193" s="362" customFormat="1" ht="13.15" customHeight="1">
      <c r="A10" s="360" t="s">
        <v>230</v>
      </c>
      <c r="B10" s="361" t="str">
        <f>Исх.данные!A63</f>
        <v>Охрана труда</v>
      </c>
      <c r="C10" s="218" t="s">
        <v>165</v>
      </c>
      <c r="D10" s="345">
        <f t="shared" si="0"/>
        <v>42.435855000000046</v>
      </c>
      <c r="E10" s="345">
        <v>0</v>
      </c>
      <c r="F10" s="345">
        <v>0</v>
      </c>
      <c r="G10" s="345">
        <v>0</v>
      </c>
      <c r="H10" s="345">
        <v>0</v>
      </c>
      <c r="I10" s="345">
        <v>0</v>
      </c>
      <c r="J10" s="345">
        <v>0</v>
      </c>
      <c r="K10" s="345">
        <v>0</v>
      </c>
      <c r="L10" s="345">
        <v>0</v>
      </c>
      <c r="M10" s="345">
        <v>0</v>
      </c>
      <c r="N10" s="345">
        <v>0</v>
      </c>
      <c r="O10" s="345">
        <v>0</v>
      </c>
      <c r="P10" s="345">
        <v>0</v>
      </c>
      <c r="Q10" s="345">
        <v>0</v>
      </c>
      <c r="R10" s="345">
        <v>0</v>
      </c>
      <c r="S10" s="345">
        <v>0</v>
      </c>
      <c r="T10" s="345">
        <v>0</v>
      </c>
      <c r="U10" s="345">
        <v>0</v>
      </c>
      <c r="V10" s="345">
        <v>0</v>
      </c>
      <c r="W10" s="345">
        <v>0</v>
      </c>
      <c r="X10" s="345">
        <v>0</v>
      </c>
      <c r="Y10" s="345">
        <v>0</v>
      </c>
      <c r="Z10" s="345">
        <v>0</v>
      </c>
      <c r="AA10" s="345">
        <f>'Прогноз цен'!$B$26</f>
        <v>33</v>
      </c>
      <c r="AB10" s="345">
        <f>'Прогноз цен'!$B$26</f>
        <v>33</v>
      </c>
      <c r="AC10" s="345">
        <f>'Прогноз цен'!$C$26</f>
        <v>33</v>
      </c>
      <c r="AD10" s="345">
        <f>'Прогноз цен'!$C$26</f>
        <v>33</v>
      </c>
      <c r="AE10" s="345">
        <f>'Прогноз цен'!$C$26</f>
        <v>33</v>
      </c>
      <c r="AF10" s="345">
        <f>'Прогноз цен'!$C$26</f>
        <v>33</v>
      </c>
      <c r="AG10" s="345">
        <f>'Прогноз цен'!$C$26</f>
        <v>33</v>
      </c>
      <c r="AH10" s="345">
        <f>'Прогноз цен'!$C$26</f>
        <v>33</v>
      </c>
      <c r="AI10" s="345">
        <f>'Прогноз цен'!$C$26</f>
        <v>33</v>
      </c>
      <c r="AJ10" s="345">
        <f>'Прогноз цен'!$C$26</f>
        <v>33</v>
      </c>
      <c r="AK10" s="345">
        <f>'Прогноз цен'!$C$26</f>
        <v>33</v>
      </c>
      <c r="AL10" s="345">
        <f>'Прогноз цен'!$C$26</f>
        <v>33</v>
      </c>
      <c r="AM10" s="345">
        <f>'Прогноз цен'!$C$26</f>
        <v>33</v>
      </c>
      <c r="AN10" s="345">
        <f>'Прогноз цен'!$C$26</f>
        <v>33</v>
      </c>
      <c r="AO10" s="345">
        <f>'Прогноз цен'!$D$26</f>
        <v>36.300000000000004</v>
      </c>
      <c r="AP10" s="345">
        <f>'Прогноз цен'!$D$26</f>
        <v>36.300000000000004</v>
      </c>
      <c r="AQ10" s="345">
        <f>'Прогноз цен'!$D$26</f>
        <v>36.300000000000004</v>
      </c>
      <c r="AR10" s="345">
        <f>'Прогноз цен'!$D$26</f>
        <v>36.300000000000004</v>
      </c>
      <c r="AS10" s="345">
        <f>'Прогноз цен'!$D$26</f>
        <v>36.300000000000004</v>
      </c>
      <c r="AT10" s="345">
        <f>'Прогноз цен'!$D$26</f>
        <v>36.300000000000004</v>
      </c>
      <c r="AU10" s="345">
        <f>'Прогноз цен'!$D$26</f>
        <v>36.300000000000004</v>
      </c>
      <c r="AV10" s="345">
        <f>'Прогноз цен'!$D$26</f>
        <v>36.300000000000004</v>
      </c>
      <c r="AW10" s="345">
        <f>'Прогноз цен'!$D$26</f>
        <v>36.300000000000004</v>
      </c>
      <c r="AX10" s="345">
        <f>'Прогноз цен'!$D$26</f>
        <v>36.300000000000004</v>
      </c>
      <c r="AY10" s="345">
        <f>'Прогноз цен'!$D$26</f>
        <v>36.300000000000004</v>
      </c>
      <c r="AZ10" s="345">
        <f>'Прогноз цен'!$D$26</f>
        <v>36.300000000000004</v>
      </c>
      <c r="BA10" s="345">
        <f>'Прогноз цен'!$E$26</f>
        <v>39.930000000000007</v>
      </c>
      <c r="BB10" s="345">
        <f>'Прогноз цен'!$E$26</f>
        <v>39.930000000000007</v>
      </c>
      <c r="BC10" s="345">
        <f>'Прогноз цен'!$E$26</f>
        <v>39.930000000000007</v>
      </c>
      <c r="BD10" s="345">
        <f>'Прогноз цен'!$E$26</f>
        <v>39.930000000000007</v>
      </c>
      <c r="BE10" s="345">
        <f>'Прогноз цен'!$E$26</f>
        <v>39.930000000000007</v>
      </c>
      <c r="BF10" s="345">
        <f>'Прогноз цен'!$E$26</f>
        <v>39.930000000000007</v>
      </c>
      <c r="BG10" s="345">
        <f>'Прогноз цен'!$E$26</f>
        <v>39.930000000000007</v>
      </c>
      <c r="BH10" s="345">
        <f>'Прогноз цен'!$E$26</f>
        <v>39.930000000000007</v>
      </c>
      <c r="BI10" s="345">
        <f>'Прогноз цен'!$E$26</f>
        <v>39.930000000000007</v>
      </c>
      <c r="BJ10" s="345">
        <f>'Прогноз цен'!$E$26</f>
        <v>39.930000000000007</v>
      </c>
      <c r="BK10" s="345">
        <f>'Прогноз цен'!$E$26</f>
        <v>39.930000000000007</v>
      </c>
      <c r="BL10" s="345">
        <f>'Прогноз цен'!$E$26</f>
        <v>39.930000000000007</v>
      </c>
      <c r="BM10" s="345">
        <f>'Прогноз цен'!$F$26</f>
        <v>43.923000000000009</v>
      </c>
      <c r="BN10" s="345">
        <f>'Прогноз цен'!$F$26</f>
        <v>43.923000000000009</v>
      </c>
      <c r="BO10" s="345">
        <f>'Прогноз цен'!$F$26</f>
        <v>43.923000000000009</v>
      </c>
      <c r="BP10" s="345">
        <f>'Прогноз цен'!$F$26</f>
        <v>43.923000000000009</v>
      </c>
      <c r="BQ10" s="345">
        <f>'Прогноз цен'!$F$26</f>
        <v>43.923000000000009</v>
      </c>
      <c r="BR10" s="345">
        <f>'Прогноз цен'!$F$26</f>
        <v>43.923000000000009</v>
      </c>
      <c r="BS10" s="345">
        <f>'Прогноз цен'!$F$26</f>
        <v>43.923000000000009</v>
      </c>
      <c r="BT10" s="345">
        <f>'Прогноз цен'!$F$26</f>
        <v>43.923000000000009</v>
      </c>
      <c r="BU10" s="345">
        <f>'Прогноз цен'!$F$26</f>
        <v>43.923000000000009</v>
      </c>
      <c r="BV10" s="345">
        <f>'Прогноз цен'!$F$26</f>
        <v>43.923000000000009</v>
      </c>
      <c r="BW10" s="345">
        <f>'Прогноз цен'!$F$26</f>
        <v>43.923000000000009</v>
      </c>
      <c r="BX10" s="345">
        <f>'Прогноз цен'!$F$26</f>
        <v>43.923000000000009</v>
      </c>
      <c r="BY10" s="345">
        <f>'Прогноз цен'!$G$26</f>
        <v>48.315300000000015</v>
      </c>
      <c r="BZ10" s="345">
        <f>'Прогноз цен'!$G$26</f>
        <v>48.315300000000015</v>
      </c>
      <c r="CA10" s="345">
        <f>'Прогноз цен'!$G$26</f>
        <v>48.315300000000015</v>
      </c>
      <c r="CB10" s="345">
        <f>'Прогноз цен'!$G$26</f>
        <v>48.315300000000015</v>
      </c>
      <c r="CC10" s="345">
        <f>'Прогноз цен'!$G$26</f>
        <v>48.315300000000015</v>
      </c>
      <c r="CD10" s="345">
        <f>'Прогноз цен'!$G$26</f>
        <v>48.315300000000015</v>
      </c>
      <c r="CE10" s="345">
        <f>'Прогноз цен'!$G$26</f>
        <v>48.315300000000015</v>
      </c>
      <c r="CF10" s="345">
        <f>'Прогноз цен'!$G$26</f>
        <v>48.315300000000015</v>
      </c>
      <c r="CG10" s="345">
        <f>'Прогноз цен'!$G$26</f>
        <v>48.315300000000015</v>
      </c>
      <c r="CH10" s="345">
        <f>'Прогноз цен'!$G$26</f>
        <v>48.315300000000015</v>
      </c>
      <c r="CI10" s="345">
        <f>'Прогноз цен'!$G$26</f>
        <v>48.315300000000015</v>
      </c>
      <c r="CJ10" s="345">
        <f>'Прогноз цен'!$G$26</f>
        <v>48.315300000000015</v>
      </c>
      <c r="CK10" s="345">
        <f>'Прогноз цен'!$H$26</f>
        <v>53.146830000000023</v>
      </c>
      <c r="CL10" s="345">
        <f>'Прогноз цен'!$H$26</f>
        <v>53.146830000000023</v>
      </c>
      <c r="CM10" s="345">
        <f>'Прогноз цен'!$H$26</f>
        <v>53.146830000000023</v>
      </c>
      <c r="CN10" s="345">
        <f>'Прогноз цен'!$H$26</f>
        <v>53.146830000000023</v>
      </c>
      <c r="CO10" s="345">
        <f>'Прогноз цен'!$H$26</f>
        <v>53.146830000000023</v>
      </c>
      <c r="CP10" s="345">
        <f>'Прогноз цен'!$H$26</f>
        <v>53.146830000000023</v>
      </c>
      <c r="CQ10" s="345">
        <f>'Прогноз цен'!$H$26</f>
        <v>53.146830000000023</v>
      </c>
      <c r="CR10" s="345">
        <f>'Прогноз цен'!$H$26</f>
        <v>53.146830000000023</v>
      </c>
      <c r="CS10" s="345">
        <f>'Прогноз цен'!$H$26</f>
        <v>53.146830000000023</v>
      </c>
      <c r="CT10" s="345">
        <f>'Прогноз цен'!$H$26</f>
        <v>53.146830000000023</v>
      </c>
      <c r="CU10" s="345">
        <f>'Прогноз цен'!$H$26</f>
        <v>53.146830000000023</v>
      </c>
      <c r="CV10" s="345">
        <f>'Прогноз цен'!$H$26</f>
        <v>53.146830000000023</v>
      </c>
      <c r="CW10" s="345">
        <f>'Прогноз цен'!$I$26</f>
        <v>58.461513000000032</v>
      </c>
      <c r="CX10" s="345">
        <f>'Прогноз цен'!$I$26</f>
        <v>58.461513000000032</v>
      </c>
      <c r="CY10" s="345">
        <f>'Прогноз цен'!$I$26</f>
        <v>58.461513000000032</v>
      </c>
      <c r="CZ10" s="345">
        <f>'Прогноз цен'!$I$26</f>
        <v>58.461513000000032</v>
      </c>
      <c r="DA10" s="345">
        <f>'Прогноз цен'!$I$26</f>
        <v>58.461513000000032</v>
      </c>
      <c r="DB10" s="345">
        <f>'Прогноз цен'!$I$26</f>
        <v>58.461513000000032</v>
      </c>
      <c r="DC10" s="345">
        <f>'Прогноз цен'!$I$26</f>
        <v>58.461513000000032</v>
      </c>
      <c r="DD10" s="345">
        <f>'Прогноз цен'!$I$26</f>
        <v>58.461513000000032</v>
      </c>
      <c r="DE10" s="345">
        <f>'Прогноз цен'!$I$26</f>
        <v>58.461513000000032</v>
      </c>
      <c r="DF10" s="345">
        <f>'Прогноз цен'!$I$26</f>
        <v>58.461513000000032</v>
      </c>
      <c r="DG10" s="345">
        <f>'Прогноз цен'!$I$26</f>
        <v>58.461513000000032</v>
      </c>
      <c r="DH10" s="345">
        <f>'Прогноз цен'!$I$26</f>
        <v>58.461513000000032</v>
      </c>
      <c r="DI10" s="345">
        <f>'Прогноз цен'!$J$26</f>
        <v>64.307664300000042</v>
      </c>
      <c r="DJ10" s="345">
        <f>'Прогноз цен'!$J$26</f>
        <v>64.307664300000042</v>
      </c>
      <c r="DK10" s="345">
        <f>'Прогноз цен'!$J$26</f>
        <v>64.307664300000042</v>
      </c>
      <c r="DL10" s="345">
        <f>'Прогноз цен'!$J$26</f>
        <v>64.307664300000042</v>
      </c>
      <c r="DM10" s="345">
        <f>'Прогноз цен'!$J$26</f>
        <v>64.307664300000042</v>
      </c>
      <c r="DN10" s="345">
        <f>'Прогноз цен'!$J$26</f>
        <v>64.307664300000042</v>
      </c>
      <c r="DO10" s="345">
        <f>'Прогноз цен'!$J$26</f>
        <v>64.307664300000042</v>
      </c>
      <c r="DP10" s="345">
        <f>'Прогноз цен'!$J$26</f>
        <v>64.307664300000042</v>
      </c>
      <c r="DQ10" s="345">
        <f>'Прогноз цен'!$J$26</f>
        <v>64.307664300000042</v>
      </c>
      <c r="DR10" s="345">
        <f>'Прогноз цен'!$J$26</f>
        <v>64.307664300000042</v>
      </c>
      <c r="DS10" s="345">
        <f>'Прогноз цен'!$J$26</f>
        <v>64.307664300000042</v>
      </c>
      <c r="DT10" s="345">
        <f>'Прогноз цен'!$J$26</f>
        <v>64.307664300000042</v>
      </c>
      <c r="DU10" s="345">
        <f>'Прогноз цен'!$K$26</f>
        <v>70.738430730000047</v>
      </c>
      <c r="DV10" s="345">
        <f>'Прогноз цен'!$K$26</f>
        <v>70.738430730000047</v>
      </c>
      <c r="DW10" s="345">
        <f>'Прогноз цен'!$K$26</f>
        <v>70.738430730000047</v>
      </c>
      <c r="DX10" s="345">
        <f>'Прогноз цен'!$K$26</f>
        <v>70.738430730000047</v>
      </c>
      <c r="DY10" s="345">
        <f>'Прогноз цен'!$K$26</f>
        <v>70.738430730000047</v>
      </c>
      <c r="DZ10" s="345">
        <f>'Прогноз цен'!$K$26</f>
        <v>70.738430730000047</v>
      </c>
      <c r="EA10" s="345">
        <f>'Прогноз цен'!$K$26</f>
        <v>70.738430730000047</v>
      </c>
      <c r="EB10" s="345">
        <f>'Прогноз цен'!$K$26</f>
        <v>70.738430730000047</v>
      </c>
      <c r="EC10" s="345">
        <f>'Прогноз цен'!$K$26</f>
        <v>70.738430730000047</v>
      </c>
      <c r="ED10" s="345">
        <f>'Прогноз цен'!$K$26</f>
        <v>70.738430730000047</v>
      </c>
      <c r="EE10" s="345">
        <f>'Прогноз цен'!$K$26</f>
        <v>70.738430730000047</v>
      </c>
      <c r="EF10" s="345">
        <f>'Прогноз цен'!$K$26</f>
        <v>70.738430730000047</v>
      </c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</row>
    <row r="11" spans="1:193" s="362" customFormat="1" ht="13.15" customHeight="1">
      <c r="A11" s="360" t="s">
        <v>231</v>
      </c>
      <c r="B11" s="361" t="str">
        <f>Исх.данные!A64</f>
        <v>Упаковка</v>
      </c>
      <c r="C11" s="218" t="s">
        <v>165</v>
      </c>
      <c r="D11" s="345">
        <f t="shared" si="0"/>
        <v>64.296750000000017</v>
      </c>
      <c r="E11" s="345">
        <v>0</v>
      </c>
      <c r="F11" s="345">
        <v>0</v>
      </c>
      <c r="G11" s="345">
        <v>0</v>
      </c>
      <c r="H11" s="345">
        <v>0</v>
      </c>
      <c r="I11" s="345">
        <v>0</v>
      </c>
      <c r="J11" s="345">
        <v>0</v>
      </c>
      <c r="K11" s="345">
        <v>0</v>
      </c>
      <c r="L11" s="345">
        <v>0</v>
      </c>
      <c r="M11" s="345">
        <v>0</v>
      </c>
      <c r="N11" s="345">
        <v>0</v>
      </c>
      <c r="O11" s="345">
        <v>0</v>
      </c>
      <c r="P11" s="345">
        <v>0</v>
      </c>
      <c r="Q11" s="345">
        <v>0</v>
      </c>
      <c r="R11" s="345">
        <v>0</v>
      </c>
      <c r="S11" s="345">
        <v>0</v>
      </c>
      <c r="T11" s="345">
        <v>0</v>
      </c>
      <c r="U11" s="345">
        <v>0</v>
      </c>
      <c r="V11" s="345">
        <v>0</v>
      </c>
      <c r="W11" s="345">
        <v>0</v>
      </c>
      <c r="X11" s="345">
        <v>0</v>
      </c>
      <c r="Y11" s="345">
        <v>0</v>
      </c>
      <c r="Z11" s="345">
        <v>0</v>
      </c>
      <c r="AA11" s="345">
        <v>0</v>
      </c>
      <c r="AB11" s="345">
        <f>'Прогноз цен'!$B$27</f>
        <v>50</v>
      </c>
      <c r="AC11" s="345">
        <f>'Прогноз цен'!$C$27</f>
        <v>50</v>
      </c>
      <c r="AD11" s="345">
        <f>'Прогноз цен'!$C$27</f>
        <v>50</v>
      </c>
      <c r="AE11" s="345">
        <f>'Прогноз цен'!$C$27</f>
        <v>50</v>
      </c>
      <c r="AF11" s="345">
        <f>'Прогноз цен'!$C$27</f>
        <v>50</v>
      </c>
      <c r="AG11" s="345">
        <f>'Прогноз цен'!$C$27</f>
        <v>50</v>
      </c>
      <c r="AH11" s="345">
        <f>'Прогноз цен'!$C$27</f>
        <v>50</v>
      </c>
      <c r="AI11" s="345">
        <f>'Прогноз цен'!$C$27</f>
        <v>50</v>
      </c>
      <c r="AJ11" s="345">
        <f>'Прогноз цен'!$C$27</f>
        <v>50</v>
      </c>
      <c r="AK11" s="345">
        <f>'Прогноз цен'!$C$27</f>
        <v>50</v>
      </c>
      <c r="AL11" s="345">
        <f>'Прогноз цен'!$C$27</f>
        <v>50</v>
      </c>
      <c r="AM11" s="345">
        <f>'Прогноз цен'!$C$27</f>
        <v>50</v>
      </c>
      <c r="AN11" s="345">
        <f>'Прогноз цен'!$C$27</f>
        <v>50</v>
      </c>
      <c r="AO11" s="345">
        <f>'Прогноз цен'!$D$27</f>
        <v>55.000000000000007</v>
      </c>
      <c r="AP11" s="345">
        <f>'Прогноз цен'!$D$27</f>
        <v>55.000000000000007</v>
      </c>
      <c r="AQ11" s="345">
        <f>'Прогноз цен'!$D$27</f>
        <v>55.000000000000007</v>
      </c>
      <c r="AR11" s="345">
        <f>'Прогноз цен'!$D$27</f>
        <v>55.000000000000007</v>
      </c>
      <c r="AS11" s="345">
        <f>'Прогноз цен'!$D$27</f>
        <v>55.000000000000007</v>
      </c>
      <c r="AT11" s="345">
        <f>'Прогноз цен'!$D$27</f>
        <v>55.000000000000007</v>
      </c>
      <c r="AU11" s="345">
        <f>'Прогноз цен'!$D$27</f>
        <v>55.000000000000007</v>
      </c>
      <c r="AV11" s="345">
        <f>'Прогноз цен'!$D$27</f>
        <v>55.000000000000007</v>
      </c>
      <c r="AW11" s="345">
        <f>'Прогноз цен'!$D$27</f>
        <v>55.000000000000007</v>
      </c>
      <c r="AX11" s="345">
        <f>'Прогноз цен'!$D$27</f>
        <v>55.000000000000007</v>
      </c>
      <c r="AY11" s="345">
        <f>'Прогноз цен'!$D$27</f>
        <v>55.000000000000007</v>
      </c>
      <c r="AZ11" s="345">
        <f>'Прогноз цен'!$D$27</f>
        <v>55.000000000000007</v>
      </c>
      <c r="BA11" s="345">
        <f>'Прогноз цен'!$E$27</f>
        <v>60.500000000000014</v>
      </c>
      <c r="BB11" s="345">
        <f>'Прогноз цен'!$E$27</f>
        <v>60.500000000000014</v>
      </c>
      <c r="BC11" s="345">
        <f>'Прогноз цен'!$E$27</f>
        <v>60.500000000000014</v>
      </c>
      <c r="BD11" s="345">
        <f>'Прогноз цен'!$E$27</f>
        <v>60.500000000000014</v>
      </c>
      <c r="BE11" s="345">
        <f>'Прогноз цен'!$E$27</f>
        <v>60.500000000000014</v>
      </c>
      <c r="BF11" s="345">
        <f>'Прогноз цен'!$E$27</f>
        <v>60.500000000000014</v>
      </c>
      <c r="BG11" s="345">
        <f>'Прогноз цен'!$E$27</f>
        <v>60.500000000000014</v>
      </c>
      <c r="BH11" s="345">
        <f>'Прогноз цен'!$E$27</f>
        <v>60.500000000000014</v>
      </c>
      <c r="BI11" s="345">
        <f>'Прогноз цен'!$E$27</f>
        <v>60.500000000000014</v>
      </c>
      <c r="BJ11" s="345">
        <f>'Прогноз цен'!$E$27</f>
        <v>60.500000000000014</v>
      </c>
      <c r="BK11" s="345">
        <f>'Прогноз цен'!$E$27</f>
        <v>60.500000000000014</v>
      </c>
      <c r="BL11" s="345">
        <f>'Прогноз цен'!$E$27</f>
        <v>60.500000000000014</v>
      </c>
      <c r="BM11" s="345">
        <f>'Прогноз цен'!$F$27</f>
        <v>66.550000000000026</v>
      </c>
      <c r="BN11" s="345">
        <f>'Прогноз цен'!$F$27</f>
        <v>66.550000000000026</v>
      </c>
      <c r="BO11" s="345">
        <f>'Прогноз цен'!$F$27</f>
        <v>66.550000000000026</v>
      </c>
      <c r="BP11" s="345">
        <f>'Прогноз цен'!$F$27</f>
        <v>66.550000000000026</v>
      </c>
      <c r="BQ11" s="345">
        <f>'Прогноз цен'!$F$27</f>
        <v>66.550000000000026</v>
      </c>
      <c r="BR11" s="345">
        <f>'Прогноз цен'!$F$27</f>
        <v>66.550000000000026</v>
      </c>
      <c r="BS11" s="345">
        <f>'Прогноз цен'!$F$27</f>
        <v>66.550000000000026</v>
      </c>
      <c r="BT11" s="345">
        <f>'Прогноз цен'!$F$27</f>
        <v>66.550000000000026</v>
      </c>
      <c r="BU11" s="345">
        <f>'Прогноз цен'!$F$27</f>
        <v>66.550000000000026</v>
      </c>
      <c r="BV11" s="345">
        <f>'Прогноз цен'!$F$27</f>
        <v>66.550000000000026</v>
      </c>
      <c r="BW11" s="345">
        <f>'Прогноз цен'!$F$27</f>
        <v>66.550000000000026</v>
      </c>
      <c r="BX11" s="345">
        <f>'Прогноз цен'!$F$27</f>
        <v>66.550000000000026</v>
      </c>
      <c r="BY11" s="345">
        <f>'Прогноз цен'!$G$27</f>
        <v>73.205000000000041</v>
      </c>
      <c r="BZ11" s="345">
        <f>'Прогноз цен'!$G$27</f>
        <v>73.205000000000041</v>
      </c>
      <c r="CA11" s="345">
        <f>'Прогноз цен'!$G$27</f>
        <v>73.205000000000041</v>
      </c>
      <c r="CB11" s="345">
        <f>'Прогноз цен'!$G$27</f>
        <v>73.205000000000041</v>
      </c>
      <c r="CC11" s="345">
        <f>'Прогноз цен'!$G$27</f>
        <v>73.205000000000041</v>
      </c>
      <c r="CD11" s="345">
        <f>'Прогноз цен'!$G$27</f>
        <v>73.205000000000041</v>
      </c>
      <c r="CE11" s="345">
        <f>'Прогноз цен'!$G$27</f>
        <v>73.205000000000041</v>
      </c>
      <c r="CF11" s="345">
        <f>'Прогноз цен'!$G$27</f>
        <v>73.205000000000041</v>
      </c>
      <c r="CG11" s="345">
        <f>'Прогноз цен'!$G$27</f>
        <v>73.205000000000041</v>
      </c>
      <c r="CH11" s="345">
        <f>'Прогноз цен'!$G$27</f>
        <v>73.205000000000041</v>
      </c>
      <c r="CI11" s="345">
        <f>'Прогноз цен'!$G$27</f>
        <v>73.205000000000041</v>
      </c>
      <c r="CJ11" s="345">
        <f>'Прогноз цен'!$G$27</f>
        <v>73.205000000000041</v>
      </c>
      <c r="CK11" s="345">
        <f>'Прогноз цен'!$H$27</f>
        <v>80.525500000000051</v>
      </c>
      <c r="CL11" s="345">
        <f>'Прогноз цен'!$H$27</f>
        <v>80.525500000000051</v>
      </c>
      <c r="CM11" s="345">
        <f>'Прогноз цен'!$H$27</f>
        <v>80.525500000000051</v>
      </c>
      <c r="CN11" s="345">
        <f>'Прогноз цен'!$H$27</f>
        <v>80.525500000000051</v>
      </c>
      <c r="CO11" s="345">
        <f>'Прогноз цен'!$H$27</f>
        <v>80.525500000000051</v>
      </c>
      <c r="CP11" s="345">
        <f>'Прогноз цен'!$H$27</f>
        <v>80.525500000000051</v>
      </c>
      <c r="CQ11" s="345">
        <f>'Прогноз цен'!$H$27</f>
        <v>80.525500000000051</v>
      </c>
      <c r="CR11" s="345">
        <f>'Прогноз цен'!$H$27</f>
        <v>80.525500000000051</v>
      </c>
      <c r="CS11" s="345">
        <f>'Прогноз цен'!$H$27</f>
        <v>80.525500000000051</v>
      </c>
      <c r="CT11" s="345">
        <f>'Прогноз цен'!$H$27</f>
        <v>80.525500000000051</v>
      </c>
      <c r="CU11" s="345">
        <f>'Прогноз цен'!$H$27</f>
        <v>80.525500000000051</v>
      </c>
      <c r="CV11" s="345">
        <f>'Прогноз цен'!$H$27</f>
        <v>80.525500000000051</v>
      </c>
      <c r="CW11" s="345">
        <f>'Прогноз цен'!$I$27</f>
        <v>88.578050000000061</v>
      </c>
      <c r="CX11" s="345">
        <f>'Прогноз цен'!$I$27</f>
        <v>88.578050000000061</v>
      </c>
      <c r="CY11" s="345">
        <f>'Прогноз цен'!$I$27</f>
        <v>88.578050000000061</v>
      </c>
      <c r="CZ11" s="345">
        <f>'Прогноз цен'!$I$27</f>
        <v>88.578050000000061</v>
      </c>
      <c r="DA11" s="345">
        <f>'Прогноз цен'!$I$27</f>
        <v>88.578050000000061</v>
      </c>
      <c r="DB11" s="345">
        <f>'Прогноз цен'!$I$27</f>
        <v>88.578050000000061</v>
      </c>
      <c r="DC11" s="345">
        <f>'Прогноз цен'!$I$27</f>
        <v>88.578050000000061</v>
      </c>
      <c r="DD11" s="345">
        <f>'Прогноз цен'!$I$27</f>
        <v>88.578050000000061</v>
      </c>
      <c r="DE11" s="345">
        <f>'Прогноз цен'!$I$27</f>
        <v>88.578050000000061</v>
      </c>
      <c r="DF11" s="345">
        <f>'Прогноз цен'!$I$27</f>
        <v>88.578050000000061</v>
      </c>
      <c r="DG11" s="345">
        <f>'Прогноз цен'!$I$27</f>
        <v>88.578050000000061</v>
      </c>
      <c r="DH11" s="345">
        <f>'Прогноз цен'!$I$27</f>
        <v>88.578050000000061</v>
      </c>
      <c r="DI11" s="345">
        <f>'Прогноз цен'!$J$27</f>
        <v>97.435855000000075</v>
      </c>
      <c r="DJ11" s="345">
        <f>'Прогноз цен'!$J$27</f>
        <v>97.435855000000075</v>
      </c>
      <c r="DK11" s="345">
        <f>'Прогноз цен'!$J$27</f>
        <v>97.435855000000075</v>
      </c>
      <c r="DL11" s="345">
        <f>'Прогноз цен'!$J$27</f>
        <v>97.435855000000075</v>
      </c>
      <c r="DM11" s="345">
        <f>'Прогноз цен'!$J$27</f>
        <v>97.435855000000075</v>
      </c>
      <c r="DN11" s="345">
        <f>'Прогноз цен'!$J$27</f>
        <v>97.435855000000075</v>
      </c>
      <c r="DO11" s="345">
        <f>'Прогноз цен'!$J$27</f>
        <v>97.435855000000075</v>
      </c>
      <c r="DP11" s="345">
        <f>'Прогноз цен'!$J$27</f>
        <v>97.435855000000075</v>
      </c>
      <c r="DQ11" s="345">
        <f>'Прогноз цен'!$J$27</f>
        <v>97.435855000000075</v>
      </c>
      <c r="DR11" s="345">
        <f>'Прогноз цен'!$J$27</f>
        <v>97.435855000000075</v>
      </c>
      <c r="DS11" s="345">
        <f>'Прогноз цен'!$J$27</f>
        <v>97.435855000000075</v>
      </c>
      <c r="DT11" s="345">
        <f>'Прогноз цен'!$J$27</f>
        <v>97.435855000000075</v>
      </c>
      <c r="DU11" s="345">
        <f>'Прогноз цен'!$K$27</f>
        <v>107.1794405000001</v>
      </c>
      <c r="DV11" s="345">
        <f>'Прогноз цен'!$K$27</f>
        <v>107.1794405000001</v>
      </c>
      <c r="DW11" s="345">
        <f>'Прогноз цен'!$K$27</f>
        <v>107.1794405000001</v>
      </c>
      <c r="DX11" s="345">
        <f>'Прогноз цен'!$K$27</f>
        <v>107.1794405000001</v>
      </c>
      <c r="DY11" s="345">
        <f>'Прогноз цен'!$K$27</f>
        <v>107.1794405000001</v>
      </c>
      <c r="DZ11" s="345">
        <f>'Прогноз цен'!$K$27</f>
        <v>107.1794405000001</v>
      </c>
      <c r="EA11" s="345">
        <f>'Прогноз цен'!$K$27</f>
        <v>107.1794405000001</v>
      </c>
      <c r="EB11" s="345">
        <f>'Прогноз цен'!$K$27</f>
        <v>107.1794405000001</v>
      </c>
      <c r="EC11" s="345">
        <f>'Прогноз цен'!$K$27</f>
        <v>107.1794405000001</v>
      </c>
      <c r="ED11" s="345">
        <f>'Прогноз цен'!$K$27</f>
        <v>107.1794405000001</v>
      </c>
      <c r="EE11" s="345">
        <f>'Прогноз цен'!$K$27</f>
        <v>107.1794405000001</v>
      </c>
      <c r="EF11" s="345">
        <f>'Прогноз цен'!$K$27</f>
        <v>107.1794405000001</v>
      </c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</row>
    <row r="12" spans="1:193" s="362" customFormat="1" ht="13.15" customHeight="1">
      <c r="A12" s="360" t="s">
        <v>232</v>
      </c>
      <c r="B12" s="361" t="str">
        <f>Исх.данные!A65</f>
        <v>Хозрасходы, канцтовары</v>
      </c>
      <c r="C12" s="218" t="s">
        <v>165</v>
      </c>
      <c r="D12" s="345">
        <f t="shared" si="0"/>
        <v>64.296750000000017</v>
      </c>
      <c r="E12" s="345">
        <v>0</v>
      </c>
      <c r="F12" s="345">
        <v>0</v>
      </c>
      <c r="G12" s="345">
        <v>0</v>
      </c>
      <c r="H12" s="345">
        <v>0</v>
      </c>
      <c r="I12" s="345">
        <v>0</v>
      </c>
      <c r="J12" s="345">
        <v>0</v>
      </c>
      <c r="K12" s="345">
        <v>0</v>
      </c>
      <c r="L12" s="345">
        <v>0</v>
      </c>
      <c r="M12" s="345">
        <v>0</v>
      </c>
      <c r="N12" s="345">
        <v>0</v>
      </c>
      <c r="O12" s="345">
        <v>0</v>
      </c>
      <c r="P12" s="345">
        <v>0</v>
      </c>
      <c r="Q12" s="345">
        <v>0</v>
      </c>
      <c r="R12" s="345">
        <v>0</v>
      </c>
      <c r="S12" s="345">
        <v>0</v>
      </c>
      <c r="T12" s="345">
        <v>0</v>
      </c>
      <c r="U12" s="345">
        <v>0</v>
      </c>
      <c r="V12" s="345">
        <v>0</v>
      </c>
      <c r="W12" s="345">
        <v>0</v>
      </c>
      <c r="X12" s="345">
        <v>0</v>
      </c>
      <c r="Y12" s="345">
        <v>0</v>
      </c>
      <c r="Z12" s="345">
        <v>0</v>
      </c>
      <c r="AA12" s="345">
        <v>0</v>
      </c>
      <c r="AB12" s="345">
        <f>'Прогноз цен'!$B$28</f>
        <v>50</v>
      </c>
      <c r="AC12" s="345">
        <f>'Прогноз цен'!$C$28</f>
        <v>50</v>
      </c>
      <c r="AD12" s="345">
        <f>'Прогноз цен'!$C$28</f>
        <v>50</v>
      </c>
      <c r="AE12" s="345">
        <f>'Прогноз цен'!$C$28</f>
        <v>50</v>
      </c>
      <c r="AF12" s="345">
        <f>'Прогноз цен'!$C$28</f>
        <v>50</v>
      </c>
      <c r="AG12" s="345">
        <f>'Прогноз цен'!$C$28</f>
        <v>50</v>
      </c>
      <c r="AH12" s="345">
        <f>'Прогноз цен'!$C$28</f>
        <v>50</v>
      </c>
      <c r="AI12" s="345">
        <f>'Прогноз цен'!$C$28</f>
        <v>50</v>
      </c>
      <c r="AJ12" s="345">
        <f>'Прогноз цен'!$C$28</f>
        <v>50</v>
      </c>
      <c r="AK12" s="345">
        <f>'Прогноз цен'!$C$28</f>
        <v>50</v>
      </c>
      <c r="AL12" s="345">
        <f>'Прогноз цен'!$C$28</f>
        <v>50</v>
      </c>
      <c r="AM12" s="345">
        <f>'Прогноз цен'!$C$28</f>
        <v>50</v>
      </c>
      <c r="AN12" s="345">
        <f>'Прогноз цен'!$C$28</f>
        <v>50</v>
      </c>
      <c r="AO12" s="345">
        <f>'Прогноз цен'!$D$28</f>
        <v>55.000000000000007</v>
      </c>
      <c r="AP12" s="345">
        <f>'Прогноз цен'!$D$28</f>
        <v>55.000000000000007</v>
      </c>
      <c r="AQ12" s="345">
        <f>'Прогноз цен'!$D$28</f>
        <v>55.000000000000007</v>
      </c>
      <c r="AR12" s="345">
        <f>'Прогноз цен'!$D$28</f>
        <v>55.000000000000007</v>
      </c>
      <c r="AS12" s="345">
        <f>'Прогноз цен'!$D$28</f>
        <v>55.000000000000007</v>
      </c>
      <c r="AT12" s="345">
        <f>'Прогноз цен'!$D$28</f>
        <v>55.000000000000007</v>
      </c>
      <c r="AU12" s="345">
        <f>'Прогноз цен'!$D$28</f>
        <v>55.000000000000007</v>
      </c>
      <c r="AV12" s="345">
        <f>'Прогноз цен'!$D$28</f>
        <v>55.000000000000007</v>
      </c>
      <c r="AW12" s="345">
        <f>'Прогноз цен'!$D$28</f>
        <v>55.000000000000007</v>
      </c>
      <c r="AX12" s="345">
        <f>'Прогноз цен'!$D$28</f>
        <v>55.000000000000007</v>
      </c>
      <c r="AY12" s="345">
        <f>'Прогноз цен'!$D$28</f>
        <v>55.000000000000007</v>
      </c>
      <c r="AZ12" s="345">
        <f>'Прогноз цен'!$D$28</f>
        <v>55.000000000000007</v>
      </c>
      <c r="BA12" s="345">
        <f>'Прогноз цен'!$E$28</f>
        <v>60.500000000000014</v>
      </c>
      <c r="BB12" s="345">
        <f>'Прогноз цен'!$E$28</f>
        <v>60.500000000000014</v>
      </c>
      <c r="BC12" s="345">
        <f>'Прогноз цен'!$E$28</f>
        <v>60.500000000000014</v>
      </c>
      <c r="BD12" s="345">
        <f>'Прогноз цен'!$E$28</f>
        <v>60.500000000000014</v>
      </c>
      <c r="BE12" s="345">
        <f>'Прогноз цен'!$E$28</f>
        <v>60.500000000000014</v>
      </c>
      <c r="BF12" s="345">
        <f>'Прогноз цен'!$E$28</f>
        <v>60.500000000000014</v>
      </c>
      <c r="BG12" s="345">
        <f>'Прогноз цен'!$E$28</f>
        <v>60.500000000000014</v>
      </c>
      <c r="BH12" s="345">
        <f>'Прогноз цен'!$E$28</f>
        <v>60.500000000000014</v>
      </c>
      <c r="BI12" s="345">
        <f>'Прогноз цен'!$E$28</f>
        <v>60.500000000000014</v>
      </c>
      <c r="BJ12" s="345">
        <f>'Прогноз цен'!$E$28</f>
        <v>60.500000000000014</v>
      </c>
      <c r="BK12" s="345">
        <f>'Прогноз цен'!$E$28</f>
        <v>60.500000000000014</v>
      </c>
      <c r="BL12" s="345">
        <f>'Прогноз цен'!$E$28</f>
        <v>60.500000000000014</v>
      </c>
      <c r="BM12" s="345">
        <f>'Прогноз цен'!$F$28</f>
        <v>66.550000000000026</v>
      </c>
      <c r="BN12" s="345">
        <f>'Прогноз цен'!$F$28</f>
        <v>66.550000000000026</v>
      </c>
      <c r="BO12" s="345">
        <f>'Прогноз цен'!$F$28</f>
        <v>66.550000000000026</v>
      </c>
      <c r="BP12" s="345">
        <f>'Прогноз цен'!$F$28</f>
        <v>66.550000000000026</v>
      </c>
      <c r="BQ12" s="345">
        <f>'Прогноз цен'!$F$28</f>
        <v>66.550000000000026</v>
      </c>
      <c r="BR12" s="345">
        <f>'Прогноз цен'!$F$28</f>
        <v>66.550000000000026</v>
      </c>
      <c r="BS12" s="345">
        <f>'Прогноз цен'!$F$28</f>
        <v>66.550000000000026</v>
      </c>
      <c r="BT12" s="345">
        <f>'Прогноз цен'!$F$28</f>
        <v>66.550000000000026</v>
      </c>
      <c r="BU12" s="345">
        <f>'Прогноз цен'!$F$28</f>
        <v>66.550000000000026</v>
      </c>
      <c r="BV12" s="345">
        <f>'Прогноз цен'!$F$28</f>
        <v>66.550000000000026</v>
      </c>
      <c r="BW12" s="345">
        <f>'Прогноз цен'!$F$28</f>
        <v>66.550000000000026</v>
      </c>
      <c r="BX12" s="345">
        <f>'Прогноз цен'!$F$28</f>
        <v>66.550000000000026</v>
      </c>
      <c r="BY12" s="345">
        <f>'Прогноз цен'!$G$28</f>
        <v>73.205000000000041</v>
      </c>
      <c r="BZ12" s="345">
        <f>'Прогноз цен'!$G$28</f>
        <v>73.205000000000041</v>
      </c>
      <c r="CA12" s="345">
        <f>'Прогноз цен'!$G$28</f>
        <v>73.205000000000041</v>
      </c>
      <c r="CB12" s="345">
        <f>'Прогноз цен'!$G$28</f>
        <v>73.205000000000041</v>
      </c>
      <c r="CC12" s="345">
        <f>'Прогноз цен'!$G$28</f>
        <v>73.205000000000041</v>
      </c>
      <c r="CD12" s="345">
        <f>'Прогноз цен'!$G$28</f>
        <v>73.205000000000041</v>
      </c>
      <c r="CE12" s="345">
        <f>'Прогноз цен'!$G$28</f>
        <v>73.205000000000041</v>
      </c>
      <c r="CF12" s="345">
        <f>'Прогноз цен'!$G$28</f>
        <v>73.205000000000041</v>
      </c>
      <c r="CG12" s="345">
        <f>'Прогноз цен'!$G$28</f>
        <v>73.205000000000041</v>
      </c>
      <c r="CH12" s="345">
        <f>'Прогноз цен'!$G$28</f>
        <v>73.205000000000041</v>
      </c>
      <c r="CI12" s="345">
        <f>'Прогноз цен'!$G$28</f>
        <v>73.205000000000041</v>
      </c>
      <c r="CJ12" s="345">
        <f>'Прогноз цен'!$G$28</f>
        <v>73.205000000000041</v>
      </c>
      <c r="CK12" s="345">
        <f>'Прогноз цен'!$H$28</f>
        <v>80.525500000000051</v>
      </c>
      <c r="CL12" s="345">
        <f>'Прогноз цен'!$H$28</f>
        <v>80.525500000000051</v>
      </c>
      <c r="CM12" s="345">
        <f>'Прогноз цен'!$H$28</f>
        <v>80.525500000000051</v>
      </c>
      <c r="CN12" s="345">
        <f>'Прогноз цен'!$H$28</f>
        <v>80.525500000000051</v>
      </c>
      <c r="CO12" s="345">
        <f>'Прогноз цен'!$H$28</f>
        <v>80.525500000000051</v>
      </c>
      <c r="CP12" s="345">
        <f>'Прогноз цен'!$H$28</f>
        <v>80.525500000000051</v>
      </c>
      <c r="CQ12" s="345">
        <f>'Прогноз цен'!$H$28</f>
        <v>80.525500000000051</v>
      </c>
      <c r="CR12" s="345">
        <f>'Прогноз цен'!$H$28</f>
        <v>80.525500000000051</v>
      </c>
      <c r="CS12" s="345">
        <f>'Прогноз цен'!$H$28</f>
        <v>80.525500000000051</v>
      </c>
      <c r="CT12" s="345">
        <f>'Прогноз цен'!$H$28</f>
        <v>80.525500000000051</v>
      </c>
      <c r="CU12" s="345">
        <f>'Прогноз цен'!$H$28</f>
        <v>80.525500000000051</v>
      </c>
      <c r="CV12" s="345">
        <f>'Прогноз цен'!$H$28</f>
        <v>80.525500000000051</v>
      </c>
      <c r="CW12" s="345">
        <f>'Прогноз цен'!$I$28</f>
        <v>88.578050000000061</v>
      </c>
      <c r="CX12" s="345">
        <f>'Прогноз цен'!$I$28</f>
        <v>88.578050000000061</v>
      </c>
      <c r="CY12" s="345">
        <f>'Прогноз цен'!$I$28</f>
        <v>88.578050000000061</v>
      </c>
      <c r="CZ12" s="345">
        <f>'Прогноз цен'!$I$28</f>
        <v>88.578050000000061</v>
      </c>
      <c r="DA12" s="345">
        <f>'Прогноз цен'!$I$28</f>
        <v>88.578050000000061</v>
      </c>
      <c r="DB12" s="345">
        <f>'Прогноз цен'!$I$28</f>
        <v>88.578050000000061</v>
      </c>
      <c r="DC12" s="345">
        <f>'Прогноз цен'!$I$28</f>
        <v>88.578050000000061</v>
      </c>
      <c r="DD12" s="345">
        <f>'Прогноз цен'!$I$28</f>
        <v>88.578050000000061</v>
      </c>
      <c r="DE12" s="345">
        <f>'Прогноз цен'!$I$28</f>
        <v>88.578050000000061</v>
      </c>
      <c r="DF12" s="345">
        <f>'Прогноз цен'!$I$28</f>
        <v>88.578050000000061</v>
      </c>
      <c r="DG12" s="345">
        <f>'Прогноз цен'!$I$28</f>
        <v>88.578050000000061</v>
      </c>
      <c r="DH12" s="345">
        <f>'Прогноз цен'!$I$28</f>
        <v>88.578050000000061</v>
      </c>
      <c r="DI12" s="345">
        <f>'Прогноз цен'!$J$28</f>
        <v>97.435855000000075</v>
      </c>
      <c r="DJ12" s="345">
        <f>'Прогноз цен'!$J$28</f>
        <v>97.435855000000075</v>
      </c>
      <c r="DK12" s="345">
        <f>'Прогноз цен'!$J$28</f>
        <v>97.435855000000075</v>
      </c>
      <c r="DL12" s="345">
        <f>'Прогноз цен'!$J$28</f>
        <v>97.435855000000075</v>
      </c>
      <c r="DM12" s="345">
        <f>'Прогноз цен'!$J$28</f>
        <v>97.435855000000075</v>
      </c>
      <c r="DN12" s="345">
        <f>'Прогноз цен'!$J$28</f>
        <v>97.435855000000075</v>
      </c>
      <c r="DO12" s="345">
        <f>'Прогноз цен'!$J$28</f>
        <v>97.435855000000075</v>
      </c>
      <c r="DP12" s="345">
        <f>'Прогноз цен'!$J$28</f>
        <v>97.435855000000075</v>
      </c>
      <c r="DQ12" s="345">
        <f>'Прогноз цен'!$J$28</f>
        <v>97.435855000000075</v>
      </c>
      <c r="DR12" s="345">
        <f>'Прогноз цен'!$J$28</f>
        <v>97.435855000000075</v>
      </c>
      <c r="DS12" s="345">
        <f>'Прогноз цен'!$J$28</f>
        <v>97.435855000000075</v>
      </c>
      <c r="DT12" s="345">
        <f>'Прогноз цен'!$J$28</f>
        <v>97.435855000000075</v>
      </c>
      <c r="DU12" s="345">
        <f>'Прогноз цен'!$K$28</f>
        <v>107.1794405000001</v>
      </c>
      <c r="DV12" s="345">
        <f>'Прогноз цен'!$K$28</f>
        <v>107.1794405000001</v>
      </c>
      <c r="DW12" s="345">
        <f>'Прогноз цен'!$K$28</f>
        <v>107.1794405000001</v>
      </c>
      <c r="DX12" s="345">
        <f>'Прогноз цен'!$K$28</f>
        <v>107.1794405000001</v>
      </c>
      <c r="DY12" s="345">
        <f>'Прогноз цен'!$K$28</f>
        <v>107.1794405000001</v>
      </c>
      <c r="DZ12" s="345">
        <f>'Прогноз цен'!$K$28</f>
        <v>107.1794405000001</v>
      </c>
      <c r="EA12" s="345">
        <f>'Прогноз цен'!$K$28</f>
        <v>107.1794405000001</v>
      </c>
      <c r="EB12" s="345">
        <f>'Прогноз цен'!$K$28</f>
        <v>107.1794405000001</v>
      </c>
      <c r="EC12" s="345">
        <f>'Прогноз цен'!$K$28</f>
        <v>107.1794405000001</v>
      </c>
      <c r="ED12" s="345">
        <f>'Прогноз цен'!$K$28</f>
        <v>107.1794405000001</v>
      </c>
      <c r="EE12" s="345">
        <f>'Прогноз цен'!$K$28</f>
        <v>107.1794405000001</v>
      </c>
      <c r="EF12" s="345">
        <f>'Прогноз цен'!$K$28</f>
        <v>107.1794405000001</v>
      </c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</row>
    <row r="13" spans="1:193" s="362" customFormat="1" ht="13.15" customHeight="1">
      <c r="A13" s="360" t="s">
        <v>233</v>
      </c>
      <c r="B13" s="361" t="str">
        <f>Исх.данные!A66</f>
        <v>Обслуживание линии порошковой окраски</v>
      </c>
      <c r="C13" s="218" t="s">
        <v>165</v>
      </c>
      <c r="D13" s="345">
        <f t="shared" si="0"/>
        <v>260.4018375</v>
      </c>
      <c r="E13" s="345">
        <v>0</v>
      </c>
      <c r="F13" s="345">
        <v>0</v>
      </c>
      <c r="G13" s="345">
        <v>0</v>
      </c>
      <c r="H13" s="345">
        <v>0</v>
      </c>
      <c r="I13" s="345">
        <v>0</v>
      </c>
      <c r="J13" s="345">
        <v>0</v>
      </c>
      <c r="K13" s="345">
        <v>0</v>
      </c>
      <c r="L13" s="345">
        <v>0</v>
      </c>
      <c r="M13" s="345">
        <v>0</v>
      </c>
      <c r="N13" s="345">
        <v>0</v>
      </c>
      <c r="O13" s="345">
        <v>0</v>
      </c>
      <c r="P13" s="345">
        <v>0</v>
      </c>
      <c r="Q13" s="345">
        <v>0</v>
      </c>
      <c r="R13" s="345">
        <v>0</v>
      </c>
      <c r="S13" s="345">
        <v>0</v>
      </c>
      <c r="T13" s="345">
        <v>0</v>
      </c>
      <c r="U13" s="345">
        <v>0</v>
      </c>
      <c r="V13" s="345">
        <v>0</v>
      </c>
      <c r="W13" s="345">
        <v>0</v>
      </c>
      <c r="X13" s="345">
        <v>0</v>
      </c>
      <c r="Y13" s="345">
        <v>0</v>
      </c>
      <c r="Z13" s="345">
        <v>0</v>
      </c>
      <c r="AA13" s="345">
        <v>0</v>
      </c>
      <c r="AB13" s="345">
        <f>'Прогноз цен'!B29</f>
        <v>202.5</v>
      </c>
      <c r="AC13" s="345">
        <f>'Прогноз цен'!$C$29</f>
        <v>202.5</v>
      </c>
      <c r="AD13" s="345">
        <f>'Прогноз цен'!$C$29</f>
        <v>202.5</v>
      </c>
      <c r="AE13" s="345">
        <f>'Прогноз цен'!$C$29</f>
        <v>202.5</v>
      </c>
      <c r="AF13" s="345">
        <f>'Прогноз цен'!$C$29</f>
        <v>202.5</v>
      </c>
      <c r="AG13" s="345">
        <f>'Прогноз цен'!$C$29</f>
        <v>202.5</v>
      </c>
      <c r="AH13" s="345">
        <f>'Прогноз цен'!$C$29</f>
        <v>202.5</v>
      </c>
      <c r="AI13" s="345">
        <f>'Прогноз цен'!$C$29</f>
        <v>202.5</v>
      </c>
      <c r="AJ13" s="345">
        <f>'Прогноз цен'!$C$29</f>
        <v>202.5</v>
      </c>
      <c r="AK13" s="345">
        <f>'Прогноз цен'!$C$29</f>
        <v>202.5</v>
      </c>
      <c r="AL13" s="345">
        <f>'Прогноз цен'!$C$29</f>
        <v>202.5</v>
      </c>
      <c r="AM13" s="345">
        <f>'Прогноз цен'!$C$29</f>
        <v>202.5</v>
      </c>
      <c r="AN13" s="345">
        <f>'Прогноз цен'!$C$29</f>
        <v>202.5</v>
      </c>
      <c r="AO13" s="345">
        <f>'Прогноз цен'!$D$29</f>
        <v>222.75000000000003</v>
      </c>
      <c r="AP13" s="345">
        <f>'Прогноз цен'!$D$29</f>
        <v>222.75000000000003</v>
      </c>
      <c r="AQ13" s="345">
        <f>'Прогноз цен'!$D$29</f>
        <v>222.75000000000003</v>
      </c>
      <c r="AR13" s="345">
        <f>'Прогноз цен'!$D$29</f>
        <v>222.75000000000003</v>
      </c>
      <c r="AS13" s="345">
        <f>'Прогноз цен'!$D$29</f>
        <v>222.75000000000003</v>
      </c>
      <c r="AT13" s="345">
        <f>'Прогноз цен'!$D$29</f>
        <v>222.75000000000003</v>
      </c>
      <c r="AU13" s="345">
        <f>'Прогноз цен'!$D$29</f>
        <v>222.75000000000003</v>
      </c>
      <c r="AV13" s="345">
        <f>'Прогноз цен'!$D$29</f>
        <v>222.75000000000003</v>
      </c>
      <c r="AW13" s="345">
        <f>'Прогноз цен'!$D$29</f>
        <v>222.75000000000003</v>
      </c>
      <c r="AX13" s="345">
        <f>'Прогноз цен'!$D$29</f>
        <v>222.75000000000003</v>
      </c>
      <c r="AY13" s="345">
        <f>'Прогноз цен'!$D$29</f>
        <v>222.75000000000003</v>
      </c>
      <c r="AZ13" s="345">
        <f>'Прогноз цен'!$D$29</f>
        <v>222.75000000000003</v>
      </c>
      <c r="BA13" s="345">
        <f>'Прогноз цен'!$E$29</f>
        <v>245.02500000000006</v>
      </c>
      <c r="BB13" s="345">
        <f>'Прогноз цен'!$E$29</f>
        <v>245.02500000000006</v>
      </c>
      <c r="BC13" s="345">
        <f>'Прогноз цен'!$E$29</f>
        <v>245.02500000000006</v>
      </c>
      <c r="BD13" s="345">
        <f>'Прогноз цен'!$E$29</f>
        <v>245.02500000000006</v>
      </c>
      <c r="BE13" s="345">
        <f>'Прогноз цен'!$E$29</f>
        <v>245.02500000000006</v>
      </c>
      <c r="BF13" s="345">
        <f>'Прогноз цен'!$E$29</f>
        <v>245.02500000000006</v>
      </c>
      <c r="BG13" s="345">
        <f>'Прогноз цен'!$E$29</f>
        <v>245.02500000000006</v>
      </c>
      <c r="BH13" s="345">
        <f>'Прогноз цен'!$E$29</f>
        <v>245.02500000000006</v>
      </c>
      <c r="BI13" s="345">
        <f>'Прогноз цен'!$E$29</f>
        <v>245.02500000000006</v>
      </c>
      <c r="BJ13" s="345">
        <f>'Прогноз цен'!$E$29</f>
        <v>245.02500000000006</v>
      </c>
      <c r="BK13" s="345">
        <f>'Прогноз цен'!$E$29</f>
        <v>245.02500000000006</v>
      </c>
      <c r="BL13" s="345">
        <f>'Прогноз цен'!$E$29</f>
        <v>245.02500000000006</v>
      </c>
      <c r="BM13" s="345">
        <f>'Прогноз цен'!$F$29</f>
        <v>269.52750000000009</v>
      </c>
      <c r="BN13" s="345">
        <f>'Прогноз цен'!$F$29</f>
        <v>269.52750000000009</v>
      </c>
      <c r="BO13" s="345">
        <f>'Прогноз цен'!$F$29</f>
        <v>269.52750000000009</v>
      </c>
      <c r="BP13" s="345">
        <f>'Прогноз цен'!$F$29</f>
        <v>269.52750000000009</v>
      </c>
      <c r="BQ13" s="345">
        <f>'Прогноз цен'!$F$29</f>
        <v>269.52750000000009</v>
      </c>
      <c r="BR13" s="345">
        <f>'Прогноз цен'!$F$29</f>
        <v>269.52750000000009</v>
      </c>
      <c r="BS13" s="345">
        <f>'Прогноз цен'!$F$29</f>
        <v>269.52750000000009</v>
      </c>
      <c r="BT13" s="345">
        <f>'Прогноз цен'!$F$29</f>
        <v>269.52750000000009</v>
      </c>
      <c r="BU13" s="345">
        <f>'Прогноз цен'!$F$29</f>
        <v>269.52750000000009</v>
      </c>
      <c r="BV13" s="345">
        <f>'Прогноз цен'!$F$29</f>
        <v>269.52750000000009</v>
      </c>
      <c r="BW13" s="345">
        <f>'Прогноз цен'!$F$29</f>
        <v>269.52750000000009</v>
      </c>
      <c r="BX13" s="345">
        <f>'Прогноз цен'!$F$29</f>
        <v>269.52750000000009</v>
      </c>
      <c r="BY13" s="345">
        <f>'Прогноз цен'!$G$29</f>
        <v>296.48025000000013</v>
      </c>
      <c r="BZ13" s="345">
        <f>'Прогноз цен'!$G$29</f>
        <v>296.48025000000013</v>
      </c>
      <c r="CA13" s="345">
        <f>'Прогноз цен'!$G$29</f>
        <v>296.48025000000013</v>
      </c>
      <c r="CB13" s="345">
        <f>'Прогноз цен'!$G$29</f>
        <v>296.48025000000013</v>
      </c>
      <c r="CC13" s="345">
        <f>'Прогноз цен'!$G$29</f>
        <v>296.48025000000013</v>
      </c>
      <c r="CD13" s="345">
        <f>'Прогноз цен'!$G$29</f>
        <v>296.48025000000013</v>
      </c>
      <c r="CE13" s="345">
        <f>'Прогноз цен'!$G$29</f>
        <v>296.48025000000013</v>
      </c>
      <c r="CF13" s="345">
        <f>'Прогноз цен'!$G$29</f>
        <v>296.48025000000013</v>
      </c>
      <c r="CG13" s="345">
        <f>'Прогноз цен'!$G$29</f>
        <v>296.48025000000013</v>
      </c>
      <c r="CH13" s="345">
        <f>'Прогноз цен'!$G$29</f>
        <v>296.48025000000013</v>
      </c>
      <c r="CI13" s="345">
        <f>'Прогноз цен'!$G$29</f>
        <v>296.48025000000013</v>
      </c>
      <c r="CJ13" s="345">
        <f>'Прогноз цен'!$G$29</f>
        <v>296.48025000000013</v>
      </c>
      <c r="CK13" s="345">
        <f>'Прогноз цен'!$H$29</f>
        <v>326.12827500000014</v>
      </c>
      <c r="CL13" s="345">
        <f>'Прогноз цен'!$H$29</f>
        <v>326.12827500000014</v>
      </c>
      <c r="CM13" s="345">
        <f>'Прогноз цен'!$H$29</f>
        <v>326.12827500000014</v>
      </c>
      <c r="CN13" s="345">
        <f>'Прогноз цен'!$H$29</f>
        <v>326.12827500000014</v>
      </c>
      <c r="CO13" s="345">
        <f>'Прогноз цен'!$H$29</f>
        <v>326.12827500000014</v>
      </c>
      <c r="CP13" s="345">
        <f>'Прогноз цен'!$H$29</f>
        <v>326.12827500000014</v>
      </c>
      <c r="CQ13" s="345">
        <f>'Прогноз цен'!$H$29</f>
        <v>326.12827500000014</v>
      </c>
      <c r="CR13" s="345">
        <f>'Прогноз цен'!$H$29</f>
        <v>326.12827500000014</v>
      </c>
      <c r="CS13" s="345">
        <f>'Прогноз цен'!$H$29</f>
        <v>326.12827500000014</v>
      </c>
      <c r="CT13" s="345">
        <f>'Прогноз цен'!$H$29</f>
        <v>326.12827500000014</v>
      </c>
      <c r="CU13" s="345">
        <f>'Прогноз цен'!$H$29</f>
        <v>326.12827500000014</v>
      </c>
      <c r="CV13" s="345">
        <f>'Прогноз цен'!$H$29</f>
        <v>326.12827500000014</v>
      </c>
      <c r="CW13" s="345">
        <f>'Прогноз цен'!$I$29</f>
        <v>358.74110250000018</v>
      </c>
      <c r="CX13" s="345">
        <f>'Прогноз цен'!$I$29</f>
        <v>358.74110250000018</v>
      </c>
      <c r="CY13" s="345">
        <f>'Прогноз цен'!$I$29</f>
        <v>358.74110250000018</v>
      </c>
      <c r="CZ13" s="345">
        <f>'Прогноз цен'!$I$29</f>
        <v>358.74110250000018</v>
      </c>
      <c r="DA13" s="345">
        <f>'Прогноз цен'!$I$29</f>
        <v>358.74110250000018</v>
      </c>
      <c r="DB13" s="345">
        <f>'Прогноз цен'!$I$29</f>
        <v>358.74110250000018</v>
      </c>
      <c r="DC13" s="345">
        <f>'Прогноз цен'!$I$29</f>
        <v>358.74110250000018</v>
      </c>
      <c r="DD13" s="345">
        <f>'Прогноз цен'!$I$29</f>
        <v>358.74110250000018</v>
      </c>
      <c r="DE13" s="345">
        <f>'Прогноз цен'!$I$29</f>
        <v>358.74110250000018</v>
      </c>
      <c r="DF13" s="345">
        <f>'Прогноз цен'!$I$29</f>
        <v>358.74110250000018</v>
      </c>
      <c r="DG13" s="345">
        <f>'Прогноз цен'!$I$29</f>
        <v>358.74110250000018</v>
      </c>
      <c r="DH13" s="345">
        <f>'Прогноз цен'!$I$29</f>
        <v>358.74110250000018</v>
      </c>
      <c r="DI13" s="345">
        <f>'Прогноз цен'!$J$29</f>
        <v>394.61521275000024</v>
      </c>
      <c r="DJ13" s="345">
        <f>'Прогноз цен'!$J$29</f>
        <v>394.61521275000024</v>
      </c>
      <c r="DK13" s="345">
        <f>'Прогноз цен'!$J$29</f>
        <v>394.61521275000024</v>
      </c>
      <c r="DL13" s="345">
        <f>'Прогноз цен'!$J$29</f>
        <v>394.61521275000024</v>
      </c>
      <c r="DM13" s="345">
        <f>'Прогноз цен'!$J$29</f>
        <v>394.61521275000024</v>
      </c>
      <c r="DN13" s="345">
        <f>'Прогноз цен'!$J$29</f>
        <v>394.61521275000024</v>
      </c>
      <c r="DO13" s="345">
        <f>'Прогноз цен'!$J$29</f>
        <v>394.61521275000024</v>
      </c>
      <c r="DP13" s="345">
        <f>'Прогноз цен'!$J$29</f>
        <v>394.61521275000024</v>
      </c>
      <c r="DQ13" s="345">
        <f>'Прогноз цен'!$J$29</f>
        <v>394.61521275000024</v>
      </c>
      <c r="DR13" s="345">
        <f>'Прогноз цен'!$J$29</f>
        <v>394.61521275000024</v>
      </c>
      <c r="DS13" s="345">
        <f>'Прогноз цен'!$J$29</f>
        <v>394.61521275000024</v>
      </c>
      <c r="DT13" s="345">
        <f>'Прогноз цен'!$J$29</f>
        <v>394.61521275000024</v>
      </c>
      <c r="DU13" s="345">
        <f>'Прогноз цен'!$K$29</f>
        <v>434.07673402500029</v>
      </c>
      <c r="DV13" s="345">
        <f>'Прогноз цен'!$K$29</f>
        <v>434.07673402500029</v>
      </c>
      <c r="DW13" s="345">
        <f>'Прогноз цен'!$K$29</f>
        <v>434.07673402500029</v>
      </c>
      <c r="DX13" s="345">
        <f>'Прогноз цен'!$K$29</f>
        <v>434.07673402500029</v>
      </c>
      <c r="DY13" s="345">
        <f>'Прогноз цен'!$K$29</f>
        <v>434.07673402500029</v>
      </c>
      <c r="DZ13" s="345">
        <f>'Прогноз цен'!$K$29</f>
        <v>434.07673402500029</v>
      </c>
      <c r="EA13" s="345">
        <f>'Прогноз цен'!$K$29</f>
        <v>434.07673402500029</v>
      </c>
      <c r="EB13" s="345">
        <f>'Прогноз цен'!$K$29</f>
        <v>434.07673402500029</v>
      </c>
      <c r="EC13" s="345">
        <f>'Прогноз цен'!$K$29</f>
        <v>434.07673402500029</v>
      </c>
      <c r="ED13" s="345">
        <f>'Прогноз цен'!$K$29</f>
        <v>434.07673402500029</v>
      </c>
      <c r="EE13" s="345">
        <f>'Прогноз цен'!$K$29</f>
        <v>434.07673402500029</v>
      </c>
      <c r="EF13" s="345">
        <f>'Прогноз цен'!$K$29</f>
        <v>434.07673402500029</v>
      </c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</row>
    <row r="14" spans="1:193" s="362" customFormat="1" ht="13.15" customHeight="1">
      <c r="A14" s="360" t="s">
        <v>234</v>
      </c>
      <c r="B14" s="361" t="str">
        <f>Исх.данные!A67</f>
        <v xml:space="preserve">Обслуживание производства </v>
      </c>
      <c r="C14" s="218" t="s">
        <v>165</v>
      </c>
      <c r="D14" s="345">
        <f t="shared" si="0"/>
        <v>95.79958562999991</v>
      </c>
      <c r="E14" s="345">
        <v>0</v>
      </c>
      <c r="F14" s="345">
        <v>0</v>
      </c>
      <c r="G14" s="345">
        <v>0</v>
      </c>
      <c r="H14" s="345">
        <v>0</v>
      </c>
      <c r="I14" s="345">
        <v>0</v>
      </c>
      <c r="J14" s="345">
        <v>0</v>
      </c>
      <c r="K14" s="345">
        <v>0</v>
      </c>
      <c r="L14" s="345">
        <v>0</v>
      </c>
      <c r="M14" s="345">
        <v>0</v>
      </c>
      <c r="N14" s="345">
        <v>0</v>
      </c>
      <c r="O14" s="345">
        <v>0</v>
      </c>
      <c r="P14" s="345">
        <v>0</v>
      </c>
      <c r="Q14" s="345">
        <v>0</v>
      </c>
      <c r="R14" s="345">
        <v>0</v>
      </c>
      <c r="S14" s="345">
        <v>0</v>
      </c>
      <c r="T14" s="345">
        <v>0</v>
      </c>
      <c r="U14" s="345">
        <v>0</v>
      </c>
      <c r="V14" s="345">
        <v>0</v>
      </c>
      <c r="W14" s="345">
        <v>0</v>
      </c>
      <c r="X14" s="345">
        <v>0</v>
      </c>
      <c r="Y14" s="345">
        <v>0</v>
      </c>
      <c r="Z14" s="345">
        <v>0</v>
      </c>
      <c r="AA14" s="345">
        <v>0</v>
      </c>
      <c r="AB14" s="345">
        <f>'Прогноз цен'!B30</f>
        <v>74.498000000000005</v>
      </c>
      <c r="AC14" s="345">
        <f>'Прогноз цен'!$C$30</f>
        <v>74.498000000000005</v>
      </c>
      <c r="AD14" s="345">
        <f>'Прогноз цен'!$C$30</f>
        <v>74.498000000000005</v>
      </c>
      <c r="AE14" s="345">
        <f>'Прогноз цен'!$C$30</f>
        <v>74.498000000000005</v>
      </c>
      <c r="AF14" s="345">
        <f>'Прогноз цен'!$C$30</f>
        <v>74.498000000000005</v>
      </c>
      <c r="AG14" s="345">
        <f>'Прогноз цен'!$C$30</f>
        <v>74.498000000000005</v>
      </c>
      <c r="AH14" s="345">
        <f>'Прогноз цен'!$C$30</f>
        <v>74.498000000000005</v>
      </c>
      <c r="AI14" s="345">
        <f>'Прогноз цен'!$C$30</f>
        <v>74.498000000000005</v>
      </c>
      <c r="AJ14" s="345">
        <f>'Прогноз цен'!$C$30</f>
        <v>74.498000000000005</v>
      </c>
      <c r="AK14" s="345">
        <f>'Прогноз цен'!$C$30</f>
        <v>74.498000000000005</v>
      </c>
      <c r="AL14" s="345">
        <f>'Прогноз цен'!$C$30</f>
        <v>74.498000000000005</v>
      </c>
      <c r="AM14" s="345">
        <f>'Прогноз цен'!$C$30</f>
        <v>74.498000000000005</v>
      </c>
      <c r="AN14" s="345">
        <f>'Прогноз цен'!$C$30</f>
        <v>74.498000000000005</v>
      </c>
      <c r="AO14" s="345">
        <f>'Прогноз цен'!$D$30</f>
        <v>81.947800000000015</v>
      </c>
      <c r="AP14" s="345">
        <f>'Прогноз цен'!$D$30</f>
        <v>81.947800000000015</v>
      </c>
      <c r="AQ14" s="345">
        <f>'Прогноз цен'!$D$30</f>
        <v>81.947800000000015</v>
      </c>
      <c r="AR14" s="345">
        <f>'Прогноз цен'!$D$30</f>
        <v>81.947800000000015</v>
      </c>
      <c r="AS14" s="345">
        <f>'Прогноз цен'!$D$30</f>
        <v>81.947800000000015</v>
      </c>
      <c r="AT14" s="345">
        <f>'Прогноз цен'!$D$30</f>
        <v>81.947800000000015</v>
      </c>
      <c r="AU14" s="345">
        <f>'Прогноз цен'!$D$30</f>
        <v>81.947800000000015</v>
      </c>
      <c r="AV14" s="345">
        <f>'Прогноз цен'!$D$30</f>
        <v>81.947800000000015</v>
      </c>
      <c r="AW14" s="345">
        <f>'Прогноз цен'!$D$30</f>
        <v>81.947800000000015</v>
      </c>
      <c r="AX14" s="345">
        <f>'Прогноз цен'!$D$30</f>
        <v>81.947800000000015</v>
      </c>
      <c r="AY14" s="345">
        <f>'Прогноз цен'!$D$30</f>
        <v>81.947800000000015</v>
      </c>
      <c r="AZ14" s="345">
        <f>'Прогноз цен'!$D$30</f>
        <v>81.947800000000015</v>
      </c>
      <c r="BA14" s="345">
        <f>'Прогноз цен'!$E$30</f>
        <v>90.142580000000024</v>
      </c>
      <c r="BB14" s="345">
        <f>'Прогноз цен'!$E$30</f>
        <v>90.142580000000024</v>
      </c>
      <c r="BC14" s="345">
        <f>'Прогноз цен'!$E$30</f>
        <v>90.142580000000024</v>
      </c>
      <c r="BD14" s="345">
        <f>'Прогноз цен'!$E$30</f>
        <v>90.142580000000024</v>
      </c>
      <c r="BE14" s="345">
        <f>'Прогноз цен'!$E$30</f>
        <v>90.142580000000024</v>
      </c>
      <c r="BF14" s="345">
        <f>'Прогноз цен'!$E$30</f>
        <v>90.142580000000024</v>
      </c>
      <c r="BG14" s="345">
        <f>'Прогноз цен'!$E$30</f>
        <v>90.142580000000024</v>
      </c>
      <c r="BH14" s="345">
        <f>'Прогноз цен'!$E$30</f>
        <v>90.142580000000024</v>
      </c>
      <c r="BI14" s="345">
        <f>'Прогноз цен'!$E$30</f>
        <v>90.142580000000024</v>
      </c>
      <c r="BJ14" s="345">
        <f>'Прогноз цен'!$E$30</f>
        <v>90.142580000000024</v>
      </c>
      <c r="BK14" s="345">
        <f>'Прогноз цен'!$E$30</f>
        <v>90.142580000000024</v>
      </c>
      <c r="BL14" s="345">
        <f>'Прогноз цен'!$E$30</f>
        <v>90.142580000000024</v>
      </c>
      <c r="BM14" s="345">
        <f>'Прогноз цен'!$F$30</f>
        <v>99.156838000000036</v>
      </c>
      <c r="BN14" s="345">
        <f>'Прогноз цен'!$F$30</f>
        <v>99.156838000000036</v>
      </c>
      <c r="BO14" s="345">
        <f>'Прогноз цен'!$F$30</f>
        <v>99.156838000000036</v>
      </c>
      <c r="BP14" s="345">
        <f>'Прогноз цен'!$F$30</f>
        <v>99.156838000000036</v>
      </c>
      <c r="BQ14" s="345">
        <f>'Прогноз цен'!$F$30</f>
        <v>99.156838000000036</v>
      </c>
      <c r="BR14" s="345">
        <f>'Прогноз цен'!$F$30</f>
        <v>99.156838000000036</v>
      </c>
      <c r="BS14" s="345">
        <f>'Прогноз цен'!$F$30</f>
        <v>99.156838000000036</v>
      </c>
      <c r="BT14" s="345">
        <f>'Прогноз цен'!$F$30</f>
        <v>99.156838000000036</v>
      </c>
      <c r="BU14" s="345">
        <f>'Прогноз цен'!$F$30</f>
        <v>99.156838000000036</v>
      </c>
      <c r="BV14" s="345">
        <f>'Прогноз цен'!$F$30</f>
        <v>99.156838000000036</v>
      </c>
      <c r="BW14" s="345">
        <f>'Прогноз цен'!$F$30</f>
        <v>99.156838000000036</v>
      </c>
      <c r="BX14" s="345">
        <f>'Прогноз цен'!$F$30</f>
        <v>99.156838000000036</v>
      </c>
      <c r="BY14" s="345">
        <f>'Прогноз цен'!$G$30</f>
        <v>109.07252180000005</v>
      </c>
      <c r="BZ14" s="345">
        <f>'Прогноз цен'!$G$30</f>
        <v>109.07252180000005</v>
      </c>
      <c r="CA14" s="345">
        <f>'Прогноз цен'!$G$30</f>
        <v>109.07252180000005</v>
      </c>
      <c r="CB14" s="345">
        <f>'Прогноз цен'!$G$30</f>
        <v>109.07252180000005</v>
      </c>
      <c r="CC14" s="345">
        <f>'Прогноз цен'!$G$30</f>
        <v>109.07252180000005</v>
      </c>
      <c r="CD14" s="345">
        <f>'Прогноз цен'!$G$30</f>
        <v>109.07252180000005</v>
      </c>
      <c r="CE14" s="345">
        <f>'Прогноз цен'!$G$30</f>
        <v>109.07252180000005</v>
      </c>
      <c r="CF14" s="345">
        <f>'Прогноз цен'!$G$30</f>
        <v>109.07252180000005</v>
      </c>
      <c r="CG14" s="345">
        <f>'Прогноз цен'!$G$30</f>
        <v>109.07252180000005</v>
      </c>
      <c r="CH14" s="345">
        <f>'Прогноз цен'!$G$30</f>
        <v>109.07252180000005</v>
      </c>
      <c r="CI14" s="345">
        <f>'Прогноз цен'!$G$30</f>
        <v>109.07252180000005</v>
      </c>
      <c r="CJ14" s="345">
        <f>'Прогноз цен'!$G$30</f>
        <v>109.07252180000005</v>
      </c>
      <c r="CK14" s="345">
        <f>'Прогноз цен'!$H$30</f>
        <v>119.97977398000006</v>
      </c>
      <c r="CL14" s="345">
        <f>'Прогноз цен'!$H$30</f>
        <v>119.97977398000006</v>
      </c>
      <c r="CM14" s="345">
        <f>'Прогноз цен'!$H$30</f>
        <v>119.97977398000006</v>
      </c>
      <c r="CN14" s="345">
        <f>'Прогноз цен'!$H$30</f>
        <v>119.97977398000006</v>
      </c>
      <c r="CO14" s="345">
        <f>'Прогноз цен'!$H$30</f>
        <v>119.97977398000006</v>
      </c>
      <c r="CP14" s="345">
        <f>'Прогноз цен'!$H$30</f>
        <v>119.97977398000006</v>
      </c>
      <c r="CQ14" s="345">
        <f>'Прогноз цен'!$H$30</f>
        <v>119.97977398000006</v>
      </c>
      <c r="CR14" s="345">
        <f>'Прогноз цен'!$H$30</f>
        <v>119.97977398000006</v>
      </c>
      <c r="CS14" s="345">
        <f>'Прогноз цен'!$H$30</f>
        <v>119.97977398000006</v>
      </c>
      <c r="CT14" s="345">
        <f>'Прогноз цен'!$H$30</f>
        <v>119.97977398000006</v>
      </c>
      <c r="CU14" s="345">
        <f>'Прогноз цен'!$H$30</f>
        <v>119.97977398000006</v>
      </c>
      <c r="CV14" s="345">
        <f>'Прогноз цен'!$H$30</f>
        <v>119.97977398000006</v>
      </c>
      <c r="CW14" s="345">
        <f>'Прогноз цен'!$I$30</f>
        <v>131.97775137800008</v>
      </c>
      <c r="CX14" s="345">
        <f>'Прогноз цен'!$I$30</f>
        <v>131.97775137800008</v>
      </c>
      <c r="CY14" s="345">
        <f>'Прогноз цен'!$I$30</f>
        <v>131.97775137800008</v>
      </c>
      <c r="CZ14" s="345">
        <f>'Прогноз цен'!$I$30</f>
        <v>131.97775137800008</v>
      </c>
      <c r="DA14" s="345">
        <f>'Прогноз цен'!$I$30</f>
        <v>131.97775137800008</v>
      </c>
      <c r="DB14" s="345">
        <f>'Прогноз цен'!$I$30</f>
        <v>131.97775137800008</v>
      </c>
      <c r="DC14" s="345">
        <f>'Прогноз цен'!$I$30</f>
        <v>131.97775137800008</v>
      </c>
      <c r="DD14" s="345">
        <f>'Прогноз цен'!$I$30</f>
        <v>131.97775137800008</v>
      </c>
      <c r="DE14" s="345">
        <f>'Прогноз цен'!$I$30</f>
        <v>131.97775137800008</v>
      </c>
      <c r="DF14" s="345">
        <f>'Прогноз цен'!$I$30</f>
        <v>131.97775137800008</v>
      </c>
      <c r="DG14" s="345">
        <f>'Прогноз цен'!$I$30</f>
        <v>131.97775137800008</v>
      </c>
      <c r="DH14" s="345">
        <f>'Прогноз цен'!$I$30</f>
        <v>131.97775137800008</v>
      </c>
      <c r="DI14" s="345">
        <f>'Прогноз цен'!$J$30</f>
        <v>145.1755265158001</v>
      </c>
      <c r="DJ14" s="345">
        <f>'Прогноз цен'!$J$30</f>
        <v>145.1755265158001</v>
      </c>
      <c r="DK14" s="345">
        <f>'Прогноз цен'!$J$30</f>
        <v>145.1755265158001</v>
      </c>
      <c r="DL14" s="345">
        <f>'Прогноз цен'!$J$30</f>
        <v>145.1755265158001</v>
      </c>
      <c r="DM14" s="345">
        <f>'Прогноз цен'!$J$30</f>
        <v>145.1755265158001</v>
      </c>
      <c r="DN14" s="345">
        <f>'Прогноз цен'!$J$30</f>
        <v>145.1755265158001</v>
      </c>
      <c r="DO14" s="345">
        <f>'Прогноз цен'!$J$30</f>
        <v>145.1755265158001</v>
      </c>
      <c r="DP14" s="345">
        <f>'Прогноз цен'!$J$30</f>
        <v>145.1755265158001</v>
      </c>
      <c r="DQ14" s="345">
        <f>'Прогноз цен'!$J$30</f>
        <v>145.1755265158001</v>
      </c>
      <c r="DR14" s="345">
        <f>'Прогноз цен'!$J$30</f>
        <v>145.1755265158001</v>
      </c>
      <c r="DS14" s="345">
        <f>'Прогноз цен'!$J$30</f>
        <v>145.1755265158001</v>
      </c>
      <c r="DT14" s="345">
        <f>'Прогноз цен'!$J$30</f>
        <v>145.1755265158001</v>
      </c>
      <c r="DU14" s="345">
        <f>'Прогноз цен'!$K$30</f>
        <v>159.69307916738012</v>
      </c>
      <c r="DV14" s="345">
        <f>'Прогноз цен'!$K$30</f>
        <v>159.69307916738012</v>
      </c>
      <c r="DW14" s="345">
        <f>'Прогноз цен'!$K$30</f>
        <v>159.69307916738012</v>
      </c>
      <c r="DX14" s="345">
        <f>'Прогноз цен'!$K$30</f>
        <v>159.69307916738012</v>
      </c>
      <c r="DY14" s="345">
        <f>'Прогноз цен'!$K$30</f>
        <v>159.69307916738012</v>
      </c>
      <c r="DZ14" s="345">
        <f>'Прогноз цен'!$K$30</f>
        <v>159.69307916738012</v>
      </c>
      <c r="EA14" s="345">
        <f>'Прогноз цен'!$K$30</f>
        <v>159.69307916738012</v>
      </c>
      <c r="EB14" s="345">
        <f>'Прогноз цен'!$K$30</f>
        <v>159.69307916738012</v>
      </c>
      <c r="EC14" s="345">
        <f>'Прогноз цен'!$K$30</f>
        <v>159.69307916738012</v>
      </c>
      <c r="ED14" s="345">
        <f>'Прогноз цен'!$K$30</f>
        <v>159.69307916738012</v>
      </c>
      <c r="EE14" s="345">
        <f>'Прогноз цен'!$K$30</f>
        <v>159.69307916738012</v>
      </c>
      <c r="EF14" s="345">
        <f>'Прогноз цен'!$K$30</f>
        <v>159.69307916738012</v>
      </c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</row>
    <row r="15" spans="1:193" s="93" customFormat="1" ht="13.15" customHeight="1">
      <c r="A15" s="360" t="s">
        <v>239</v>
      </c>
      <c r="B15" s="51" t="s">
        <v>217</v>
      </c>
      <c r="C15" s="218" t="s">
        <v>196</v>
      </c>
      <c r="D15" s="345">
        <f t="shared" si="0"/>
        <v>1660.142084999999</v>
      </c>
      <c r="E15" s="345">
        <v>0</v>
      </c>
      <c r="F15" s="345">
        <v>0</v>
      </c>
      <c r="G15" s="345">
        <v>0</v>
      </c>
      <c r="H15" s="345">
        <v>0</v>
      </c>
      <c r="I15" s="345">
        <v>0</v>
      </c>
      <c r="J15" s="345">
        <v>0</v>
      </c>
      <c r="K15" s="345">
        <v>0</v>
      </c>
      <c r="L15" s="345">
        <v>0</v>
      </c>
      <c r="M15" s="345">
        <v>0</v>
      </c>
      <c r="N15" s="345">
        <v>0</v>
      </c>
      <c r="O15" s="345">
        <v>0</v>
      </c>
      <c r="P15" s="345">
        <v>0</v>
      </c>
      <c r="Q15" s="345">
        <v>0</v>
      </c>
      <c r="R15" s="345">
        <v>0</v>
      </c>
      <c r="S15" s="345">
        <v>0</v>
      </c>
      <c r="T15" s="345">
        <v>0</v>
      </c>
      <c r="U15" s="345">
        <v>0</v>
      </c>
      <c r="V15" s="345">
        <v>0</v>
      </c>
      <c r="W15" s="345">
        <v>0</v>
      </c>
      <c r="X15" s="345">
        <v>0</v>
      </c>
      <c r="Y15" s="345">
        <v>0</v>
      </c>
      <c r="Z15" s="345">
        <f>Персонал!N4+Персонал!N21</f>
        <v>0</v>
      </c>
      <c r="AA15" s="345">
        <f>Персонал!O4+Персонал!O21</f>
        <v>1291</v>
      </c>
      <c r="AB15" s="345">
        <f>Персонал!P4+Персонал!P21</f>
        <v>1291</v>
      </c>
      <c r="AC15" s="345">
        <f>Персонал!Q4+Персонал!Q21</f>
        <v>1291</v>
      </c>
      <c r="AD15" s="345">
        <f>Персонал!R4+Персонал!R21</f>
        <v>1291</v>
      </c>
      <c r="AE15" s="345">
        <f>Персонал!S4+Персонал!S21</f>
        <v>1291</v>
      </c>
      <c r="AF15" s="345">
        <f>Персонал!T4+Персонал!T21</f>
        <v>1291</v>
      </c>
      <c r="AG15" s="345">
        <f>Персонал!U4+Персонал!U21</f>
        <v>1291</v>
      </c>
      <c r="AH15" s="345">
        <f>Персонал!V4+Персонал!V21</f>
        <v>1291</v>
      </c>
      <c r="AI15" s="345">
        <f>Персонал!W4+Персонал!W21</f>
        <v>1291</v>
      </c>
      <c r="AJ15" s="345">
        <f>Персонал!X4+Персонал!X21</f>
        <v>1291</v>
      </c>
      <c r="AK15" s="345">
        <f>Персонал!Y4+Персонал!Y21</f>
        <v>1291</v>
      </c>
      <c r="AL15" s="345">
        <f>Персонал!Z4+Персонал!Z21</f>
        <v>1291</v>
      </c>
      <c r="AM15" s="345">
        <f>Персонал!AA4+Персонал!AA21</f>
        <v>1291</v>
      </c>
      <c r="AN15" s="345">
        <f>Персонал!AB4+Персонал!AB21</f>
        <v>1291</v>
      </c>
      <c r="AO15" s="345">
        <f>Персонал!AC4+Персонал!AC21</f>
        <v>1420.1000000000001</v>
      </c>
      <c r="AP15" s="345">
        <f>Персонал!AD4+Персонал!AD21</f>
        <v>1420.1000000000001</v>
      </c>
      <c r="AQ15" s="345">
        <f>Персонал!AE4+Персонал!AE21</f>
        <v>1420.1000000000001</v>
      </c>
      <c r="AR15" s="345">
        <f>Персонал!AF4+Персонал!AF21</f>
        <v>1420.1000000000001</v>
      </c>
      <c r="AS15" s="345">
        <f>Персонал!AG4+Персонал!AG21</f>
        <v>1420.1000000000001</v>
      </c>
      <c r="AT15" s="345">
        <f>Персонал!AH4+Персонал!AH21</f>
        <v>1420.1000000000001</v>
      </c>
      <c r="AU15" s="345">
        <f>Персонал!AI4+Персонал!AI21</f>
        <v>1420.1000000000001</v>
      </c>
      <c r="AV15" s="345">
        <f>Персонал!AJ4+Персонал!AJ21</f>
        <v>1420.1000000000001</v>
      </c>
      <c r="AW15" s="345">
        <f>Персонал!AK4+Персонал!AK21</f>
        <v>1420.1000000000001</v>
      </c>
      <c r="AX15" s="345">
        <f>Персонал!AL4+Персонал!AL21</f>
        <v>1420.1000000000001</v>
      </c>
      <c r="AY15" s="345">
        <f>Персонал!AM4+Персонал!AM21</f>
        <v>1420.1000000000001</v>
      </c>
      <c r="AZ15" s="345">
        <f>Персонал!AN4+Персонал!AN21</f>
        <v>1420.1000000000001</v>
      </c>
      <c r="BA15" s="345">
        <f>Персонал!AO4+Персонал!AO21</f>
        <v>1562.1100000000001</v>
      </c>
      <c r="BB15" s="345">
        <f>Персонал!AP4+Персонал!AP21</f>
        <v>1562.1100000000001</v>
      </c>
      <c r="BC15" s="345">
        <f>Персонал!AQ4+Персонал!AQ21</f>
        <v>1562.1100000000001</v>
      </c>
      <c r="BD15" s="345">
        <f>Персонал!AR4+Персонал!AR21</f>
        <v>1562.1100000000001</v>
      </c>
      <c r="BE15" s="345">
        <f>Персонал!AS4+Персонал!AS21</f>
        <v>1562.1100000000001</v>
      </c>
      <c r="BF15" s="345">
        <f>Персонал!AT4+Персонал!AT21</f>
        <v>1562.1100000000001</v>
      </c>
      <c r="BG15" s="345">
        <f>Персонал!AU4+Персонал!AU21</f>
        <v>1562.1100000000001</v>
      </c>
      <c r="BH15" s="345">
        <f>Персонал!AV4+Персонал!AV21</f>
        <v>1562.1100000000001</v>
      </c>
      <c r="BI15" s="345">
        <f>Персонал!AW4+Персонал!AW21</f>
        <v>1562.1100000000001</v>
      </c>
      <c r="BJ15" s="345">
        <f>Персонал!AX4+Персонал!AX21</f>
        <v>1562.1100000000001</v>
      </c>
      <c r="BK15" s="345">
        <f>Персонал!AY4+Персонал!AY21</f>
        <v>1562.1100000000001</v>
      </c>
      <c r="BL15" s="345">
        <f>Персонал!AZ4+Персонал!AZ21</f>
        <v>1562.1100000000001</v>
      </c>
      <c r="BM15" s="345">
        <f>Персонал!BA4+Персонал!BA21</f>
        <v>1718.3210000000004</v>
      </c>
      <c r="BN15" s="345">
        <f>Персонал!BB4+Персонал!BB21</f>
        <v>1718.3210000000004</v>
      </c>
      <c r="BO15" s="345">
        <f>Персонал!BC4+Персонал!BC21</f>
        <v>1718.3210000000004</v>
      </c>
      <c r="BP15" s="345">
        <f>Персонал!BD4+Персонал!BD21</f>
        <v>1718.3210000000004</v>
      </c>
      <c r="BQ15" s="345">
        <f>Персонал!BE4+Персонал!BE21</f>
        <v>1718.3210000000004</v>
      </c>
      <c r="BR15" s="345">
        <f>Персонал!BF4+Персонал!BF21</f>
        <v>1718.3210000000004</v>
      </c>
      <c r="BS15" s="345">
        <f>Персонал!BG4+Персонал!BG21</f>
        <v>1718.3210000000004</v>
      </c>
      <c r="BT15" s="345">
        <f>Персонал!BH4+Персонал!BH21</f>
        <v>1718.3210000000004</v>
      </c>
      <c r="BU15" s="345">
        <f>Персонал!BI4+Персонал!BI21</f>
        <v>1718.3210000000004</v>
      </c>
      <c r="BV15" s="345">
        <f>Персонал!BJ4+Персонал!BJ21</f>
        <v>1718.3210000000004</v>
      </c>
      <c r="BW15" s="345">
        <f>Персонал!BK4+Персонал!BK21</f>
        <v>1718.3210000000004</v>
      </c>
      <c r="BX15" s="345">
        <f>Персонал!BL4+Персонал!BL21</f>
        <v>1718.3210000000004</v>
      </c>
      <c r="BY15" s="345">
        <f>Персонал!BM4+Персонал!BM21</f>
        <v>1890.1531000000007</v>
      </c>
      <c r="BZ15" s="345">
        <f>Персонал!BN4+Персонал!BN21</f>
        <v>1890.1531000000007</v>
      </c>
      <c r="CA15" s="345">
        <f>Персонал!BO4+Персонал!BO21</f>
        <v>1890.1531000000007</v>
      </c>
      <c r="CB15" s="345">
        <f>Персонал!BP4+Персонал!BP21</f>
        <v>1890.1531000000007</v>
      </c>
      <c r="CC15" s="345">
        <f>Персонал!BQ4+Персонал!BQ21</f>
        <v>1890.1531000000007</v>
      </c>
      <c r="CD15" s="345">
        <f>Персонал!BR4+Персонал!BR21</f>
        <v>1890.1531000000007</v>
      </c>
      <c r="CE15" s="345">
        <f>Персонал!BS4+Персонал!BS21</f>
        <v>1890.1531000000007</v>
      </c>
      <c r="CF15" s="345">
        <f>Персонал!BT4+Персонал!BT21</f>
        <v>1890.1531000000007</v>
      </c>
      <c r="CG15" s="345">
        <f>Персонал!BU4+Персонал!BU21</f>
        <v>1890.1531000000007</v>
      </c>
      <c r="CH15" s="345">
        <f>Персонал!BV4+Персонал!BV21</f>
        <v>1890.1531000000007</v>
      </c>
      <c r="CI15" s="345">
        <f>Персонал!BW4+Персонал!BW21</f>
        <v>1890.1531000000007</v>
      </c>
      <c r="CJ15" s="345">
        <f>Персонал!BX4+Персонал!BX21</f>
        <v>1890.1531000000007</v>
      </c>
      <c r="CK15" s="345">
        <f>Персонал!BY4+Персонал!BY21</f>
        <v>2079.1684100000007</v>
      </c>
      <c r="CL15" s="345">
        <f>Персонал!BZ4+Персонал!BZ21</f>
        <v>2079.1684100000007</v>
      </c>
      <c r="CM15" s="345">
        <f>Персонал!CA4+Персонал!CA21</f>
        <v>2079.1684100000007</v>
      </c>
      <c r="CN15" s="345">
        <f>Персонал!CB4+Персонал!CB21</f>
        <v>2079.1684100000007</v>
      </c>
      <c r="CO15" s="345">
        <f>Персонал!CC4+Персонал!CC21</f>
        <v>2079.1684100000007</v>
      </c>
      <c r="CP15" s="345">
        <f>Персонал!CD4+Персонал!CD21</f>
        <v>2079.1684100000007</v>
      </c>
      <c r="CQ15" s="345">
        <f>Персонал!CE4+Персонал!CE21</f>
        <v>2079.1684100000007</v>
      </c>
      <c r="CR15" s="345">
        <f>Персонал!CF4+Персонал!CF21</f>
        <v>2079.1684100000007</v>
      </c>
      <c r="CS15" s="345">
        <f>Персонал!CG4+Персонал!CG21</f>
        <v>2079.1684100000007</v>
      </c>
      <c r="CT15" s="345">
        <f>Персонал!CH4+Персонал!CH21</f>
        <v>2079.1684100000007</v>
      </c>
      <c r="CU15" s="345">
        <f>Персонал!CI4+Персонал!CI21</f>
        <v>2079.1684100000007</v>
      </c>
      <c r="CV15" s="345">
        <f>Персонал!CJ4+Персонал!CJ21</f>
        <v>2079.1684100000007</v>
      </c>
      <c r="CW15" s="345">
        <f>Персонал!CK4+Персонал!CK21</f>
        <v>2287.0852510000013</v>
      </c>
      <c r="CX15" s="345">
        <f>Персонал!CL4+Персонал!CL21</f>
        <v>2287.0852510000013</v>
      </c>
      <c r="CY15" s="345">
        <f>Персонал!CM4+Персонал!CM21</f>
        <v>2287.0852510000013</v>
      </c>
      <c r="CZ15" s="345">
        <f>Персонал!CN4+Персонал!CN21</f>
        <v>2287.0852510000013</v>
      </c>
      <c r="DA15" s="345">
        <f>Персонал!CO4+Персонал!CO21</f>
        <v>2287.0852510000013</v>
      </c>
      <c r="DB15" s="345">
        <f>Персонал!CP4+Персонал!CP21</f>
        <v>2287.0852510000013</v>
      </c>
      <c r="DC15" s="345">
        <f>Персонал!CQ4+Персонал!CQ21</f>
        <v>2287.0852510000013</v>
      </c>
      <c r="DD15" s="345">
        <f>Персонал!CR4+Персонал!CR21</f>
        <v>2287.0852510000013</v>
      </c>
      <c r="DE15" s="345">
        <f>Персонал!CS4+Персонал!CS21</f>
        <v>2287.0852510000013</v>
      </c>
      <c r="DF15" s="345">
        <f>Персонал!CT4+Персонал!CT21</f>
        <v>2287.0852510000013</v>
      </c>
      <c r="DG15" s="345">
        <f>Персонал!CU4+Персонал!CU21</f>
        <v>2287.0852510000013</v>
      </c>
      <c r="DH15" s="345">
        <f>Персонал!CV4+Персонал!CV21</f>
        <v>2287.0852510000013</v>
      </c>
      <c r="DI15" s="345">
        <f>Персонал!CW4+Персонал!CW21</f>
        <v>2515.7937761000012</v>
      </c>
      <c r="DJ15" s="345">
        <f>Персонал!CX4+Персонал!CX21</f>
        <v>2515.7937761000012</v>
      </c>
      <c r="DK15" s="345">
        <f>Персонал!CY4+Персонал!CY21</f>
        <v>2515.7937761000012</v>
      </c>
      <c r="DL15" s="345">
        <f>Персонал!CZ4+Персонал!CZ21</f>
        <v>2515.7937761000012</v>
      </c>
      <c r="DM15" s="345">
        <f>Персонал!DA4+Персонал!DA21</f>
        <v>2515.7937761000012</v>
      </c>
      <c r="DN15" s="345">
        <f>Персонал!DB4+Персонал!DB21</f>
        <v>2515.7937761000012</v>
      </c>
      <c r="DO15" s="345">
        <f>Персонал!DC4+Персонал!DC21</f>
        <v>2515.7937761000012</v>
      </c>
      <c r="DP15" s="345">
        <f>Персонал!DD4+Персонал!DD21</f>
        <v>2515.7937761000012</v>
      </c>
      <c r="DQ15" s="345">
        <f>Персонал!DE4+Персонал!DE21</f>
        <v>2515.7937761000012</v>
      </c>
      <c r="DR15" s="345">
        <f>Персонал!DF4+Персонал!DF21</f>
        <v>2515.7937761000012</v>
      </c>
      <c r="DS15" s="345">
        <f>Персонал!DG4+Персонал!DG21</f>
        <v>2515.7937761000012</v>
      </c>
      <c r="DT15" s="345">
        <f>Персонал!DH4+Персонал!DH21</f>
        <v>2515.7937761000012</v>
      </c>
      <c r="DU15" s="345">
        <f>Персонал!DI4+Персонал!DI21</f>
        <v>2767.3731537100016</v>
      </c>
      <c r="DV15" s="345">
        <f>Персонал!DJ4+Персонал!DJ21</f>
        <v>2767.3731537100016</v>
      </c>
      <c r="DW15" s="345">
        <f>Персонал!DK4+Персонал!DK21</f>
        <v>2767.3731537100016</v>
      </c>
      <c r="DX15" s="345">
        <f>Персонал!DL4+Персонал!DL21</f>
        <v>2767.3731537100016</v>
      </c>
      <c r="DY15" s="345">
        <f>Персонал!DM4+Персонал!DM21</f>
        <v>2767.3731537100016</v>
      </c>
      <c r="DZ15" s="345">
        <f>Персонал!DN4+Персонал!DN21</f>
        <v>2767.3731537100016</v>
      </c>
      <c r="EA15" s="345">
        <f>Персонал!DO4+Персонал!DO21</f>
        <v>2767.3731537100016</v>
      </c>
      <c r="EB15" s="345">
        <f>Персонал!DP4+Персонал!DP21</f>
        <v>2767.3731537100016</v>
      </c>
      <c r="EC15" s="345">
        <f>Персонал!DQ4+Персонал!DQ21</f>
        <v>2767.3731537100016</v>
      </c>
      <c r="ED15" s="345">
        <f>Персонал!DR4+Персонал!DR21</f>
        <v>2767.3731537100016</v>
      </c>
      <c r="EE15" s="345">
        <f>Персонал!DS4+Персонал!DS21</f>
        <v>2767.3731537100016</v>
      </c>
      <c r="EF15" s="345">
        <f>Персонал!DT4+Персонал!DT21</f>
        <v>2767.3731537100016</v>
      </c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</row>
    <row r="16" spans="1:193" s="93" customFormat="1" ht="13.15" customHeight="1">
      <c r="A16" s="106"/>
      <c r="B16" s="106" t="s">
        <v>149</v>
      </c>
      <c r="C16" s="106"/>
      <c r="D16" s="74">
        <f>SUM(D3:D15)</f>
        <v>13228.175094301274</v>
      </c>
      <c r="E16" s="74">
        <f>SUM(E3:E15)</f>
        <v>0</v>
      </c>
      <c r="F16" s="74">
        <f>SUM(F3:F15)</f>
        <v>0</v>
      </c>
      <c r="G16" s="74">
        <f t="shared" ref="G16" si="1">SUM(G3:G15)</f>
        <v>0</v>
      </c>
      <c r="H16" s="74">
        <f t="shared" ref="H16" si="2">SUM(H3:H15)</f>
        <v>0</v>
      </c>
      <c r="I16" s="74">
        <f t="shared" ref="I16" si="3">SUM(I3:I15)</f>
        <v>0</v>
      </c>
      <c r="J16" s="74">
        <f t="shared" ref="J16" si="4">SUM(J3:J15)</f>
        <v>0</v>
      </c>
      <c r="K16" s="74">
        <f t="shared" ref="K16" si="5">SUM(K3:K15)</f>
        <v>0</v>
      </c>
      <c r="L16" s="74">
        <f t="shared" ref="L16" si="6">SUM(L3:L15)</f>
        <v>0</v>
      </c>
      <c r="M16" s="74">
        <f t="shared" ref="M16" si="7">SUM(M3:M15)</f>
        <v>0</v>
      </c>
      <c r="N16" s="74">
        <f t="shared" ref="N16" si="8">SUM(N3:N15)</f>
        <v>0</v>
      </c>
      <c r="O16" s="74">
        <f t="shared" ref="O16" si="9">SUM(O3:O15)</f>
        <v>0</v>
      </c>
      <c r="P16" s="74">
        <f t="shared" ref="P16" si="10">SUM(P3:P15)</f>
        <v>0</v>
      </c>
      <c r="Q16" s="74">
        <f t="shared" ref="Q16:AU16" si="11">SUM(Q3:Q15)</f>
        <v>0</v>
      </c>
      <c r="R16" s="74">
        <f t="shared" si="11"/>
        <v>0</v>
      </c>
      <c r="S16" s="74">
        <f t="shared" si="11"/>
        <v>0</v>
      </c>
      <c r="T16" s="74">
        <f t="shared" si="11"/>
        <v>0</v>
      </c>
      <c r="U16" s="74">
        <f t="shared" si="11"/>
        <v>0</v>
      </c>
      <c r="V16" s="74">
        <f t="shared" si="11"/>
        <v>0</v>
      </c>
      <c r="W16" s="74">
        <f t="shared" si="11"/>
        <v>0</v>
      </c>
      <c r="X16" s="74">
        <f t="shared" si="11"/>
        <v>0</v>
      </c>
      <c r="Y16" s="74">
        <f t="shared" si="11"/>
        <v>0</v>
      </c>
      <c r="Z16" s="74">
        <f t="shared" si="11"/>
        <v>0</v>
      </c>
      <c r="AA16" s="74">
        <f t="shared" si="11"/>
        <v>1604</v>
      </c>
      <c r="AB16" s="74">
        <f t="shared" si="11"/>
        <v>10200.998</v>
      </c>
      <c r="AC16" s="74">
        <f t="shared" si="11"/>
        <v>10200.998</v>
      </c>
      <c r="AD16" s="74">
        <f t="shared" si="11"/>
        <v>10200.998</v>
      </c>
      <c r="AE16" s="74">
        <f t="shared" si="11"/>
        <v>10200.998</v>
      </c>
      <c r="AF16" s="74">
        <f t="shared" si="11"/>
        <v>10200.998</v>
      </c>
      <c r="AG16" s="74">
        <f t="shared" si="11"/>
        <v>10200.998</v>
      </c>
      <c r="AH16" s="74">
        <f t="shared" si="11"/>
        <v>10200.998</v>
      </c>
      <c r="AI16" s="74">
        <f t="shared" si="11"/>
        <v>10200.998</v>
      </c>
      <c r="AJ16" s="74">
        <f t="shared" si="11"/>
        <v>10200.998</v>
      </c>
      <c r="AK16" s="74">
        <f>SUM(AK3:AK15)</f>
        <v>10200.998</v>
      </c>
      <c r="AL16" s="74">
        <f t="shared" si="11"/>
        <v>10200.998</v>
      </c>
      <c r="AM16" s="74">
        <f t="shared" si="11"/>
        <v>10315.998</v>
      </c>
      <c r="AN16" s="74">
        <f t="shared" si="11"/>
        <v>10315.998</v>
      </c>
      <c r="AO16" s="74">
        <f t="shared" si="11"/>
        <v>11340.6978</v>
      </c>
      <c r="AP16" s="74">
        <f t="shared" si="11"/>
        <v>11340.6978</v>
      </c>
      <c r="AQ16" s="74">
        <f t="shared" si="11"/>
        <v>11340.6978</v>
      </c>
      <c r="AR16" s="74">
        <f t="shared" si="11"/>
        <v>11340.6978</v>
      </c>
      <c r="AS16" s="74">
        <f t="shared" si="11"/>
        <v>11340.6978</v>
      </c>
      <c r="AT16" s="74">
        <f t="shared" si="11"/>
        <v>11340.6978</v>
      </c>
      <c r="AU16" s="74">
        <f t="shared" si="11"/>
        <v>11340.6978</v>
      </c>
      <c r="AV16" s="74">
        <f t="shared" ref="AV16:CA16" si="12">SUM(AV3:AV15)</f>
        <v>11340.6978</v>
      </c>
      <c r="AW16" s="74">
        <f t="shared" si="12"/>
        <v>11340.6978</v>
      </c>
      <c r="AX16" s="74">
        <f t="shared" si="12"/>
        <v>11340.6978</v>
      </c>
      <c r="AY16" s="74">
        <f t="shared" si="12"/>
        <v>11340.6978</v>
      </c>
      <c r="AZ16" s="74">
        <f t="shared" si="12"/>
        <v>11340.6978</v>
      </c>
      <c r="BA16" s="74">
        <f t="shared" si="12"/>
        <v>12467.38458</v>
      </c>
      <c r="BB16" s="74">
        <f t="shared" si="12"/>
        <v>12467.38458</v>
      </c>
      <c r="BC16" s="74">
        <f t="shared" si="12"/>
        <v>12467.38458</v>
      </c>
      <c r="BD16" s="74">
        <f t="shared" si="12"/>
        <v>12467.38458</v>
      </c>
      <c r="BE16" s="74">
        <f t="shared" si="12"/>
        <v>12467.38458</v>
      </c>
      <c r="BF16" s="74">
        <f t="shared" si="12"/>
        <v>12467.38458</v>
      </c>
      <c r="BG16" s="74">
        <f t="shared" si="12"/>
        <v>12467.38458</v>
      </c>
      <c r="BH16" s="74">
        <f t="shared" si="12"/>
        <v>12467.38458</v>
      </c>
      <c r="BI16" s="74">
        <f t="shared" si="12"/>
        <v>12467.38458</v>
      </c>
      <c r="BJ16" s="74">
        <f t="shared" si="12"/>
        <v>12467.38458</v>
      </c>
      <c r="BK16" s="74">
        <f t="shared" si="12"/>
        <v>12467.38458</v>
      </c>
      <c r="BL16" s="74">
        <f t="shared" si="12"/>
        <v>12467.38458</v>
      </c>
      <c r="BM16" s="74">
        <f t="shared" si="12"/>
        <v>13706.223228000001</v>
      </c>
      <c r="BN16" s="74">
        <f t="shared" si="12"/>
        <v>13706.223228000001</v>
      </c>
      <c r="BO16" s="74">
        <f t="shared" si="12"/>
        <v>13706.223228000001</v>
      </c>
      <c r="BP16" s="74">
        <f t="shared" si="12"/>
        <v>13706.223228000001</v>
      </c>
      <c r="BQ16" s="74">
        <f t="shared" si="12"/>
        <v>13706.223228000001</v>
      </c>
      <c r="BR16" s="74">
        <f t="shared" si="12"/>
        <v>13706.223228000001</v>
      </c>
      <c r="BS16" s="74">
        <f t="shared" si="12"/>
        <v>13706.223228000001</v>
      </c>
      <c r="BT16" s="74">
        <f t="shared" si="12"/>
        <v>13706.223228000001</v>
      </c>
      <c r="BU16" s="74">
        <f t="shared" si="12"/>
        <v>13706.223228000001</v>
      </c>
      <c r="BV16" s="74">
        <f t="shared" si="12"/>
        <v>13706.223228000001</v>
      </c>
      <c r="BW16" s="74">
        <f t="shared" si="12"/>
        <v>13706.223228000001</v>
      </c>
      <c r="BX16" s="74">
        <f t="shared" si="12"/>
        <v>13706.223228000001</v>
      </c>
      <c r="BY16" s="74">
        <f t="shared" si="12"/>
        <v>15068.392754100001</v>
      </c>
      <c r="BZ16" s="74">
        <f t="shared" si="12"/>
        <v>15068.392754100001</v>
      </c>
      <c r="CA16" s="74">
        <f t="shared" si="12"/>
        <v>15068.392754100001</v>
      </c>
      <c r="CB16" s="74">
        <f t="shared" ref="CB16:DG16" si="13">SUM(CB3:CB15)</f>
        <v>15068.392754100001</v>
      </c>
      <c r="CC16" s="74">
        <f t="shared" si="13"/>
        <v>15068.392754100001</v>
      </c>
      <c r="CD16" s="74">
        <f t="shared" si="13"/>
        <v>15068.392754100001</v>
      </c>
      <c r="CE16" s="74">
        <f t="shared" si="13"/>
        <v>15068.392754100001</v>
      </c>
      <c r="CF16" s="74">
        <f t="shared" si="13"/>
        <v>15068.392754100001</v>
      </c>
      <c r="CG16" s="74">
        <f t="shared" si="13"/>
        <v>15068.392754100001</v>
      </c>
      <c r="CH16" s="74">
        <f t="shared" si="13"/>
        <v>15068.392754100001</v>
      </c>
      <c r="CI16" s="74">
        <f t="shared" si="13"/>
        <v>15068.392754100001</v>
      </c>
      <c r="CJ16" s="74">
        <f t="shared" si="13"/>
        <v>15068.392754100001</v>
      </c>
      <c r="CK16" s="74">
        <f t="shared" si="13"/>
        <v>16566.187537040998</v>
      </c>
      <c r="CL16" s="74">
        <f t="shared" si="13"/>
        <v>16566.187537040998</v>
      </c>
      <c r="CM16" s="74">
        <f t="shared" si="13"/>
        <v>16566.187537040998</v>
      </c>
      <c r="CN16" s="74">
        <f t="shared" si="13"/>
        <v>16566.187537040998</v>
      </c>
      <c r="CO16" s="74">
        <f t="shared" si="13"/>
        <v>16566.187537040998</v>
      </c>
      <c r="CP16" s="74">
        <f t="shared" si="13"/>
        <v>16566.187537040998</v>
      </c>
      <c r="CQ16" s="74">
        <f t="shared" si="13"/>
        <v>16566.187537040998</v>
      </c>
      <c r="CR16" s="74">
        <f t="shared" si="13"/>
        <v>16566.187537040998</v>
      </c>
      <c r="CS16" s="74">
        <f t="shared" si="13"/>
        <v>16566.187537040998</v>
      </c>
      <c r="CT16" s="74">
        <f t="shared" si="13"/>
        <v>16566.187537040998</v>
      </c>
      <c r="CU16" s="74">
        <f t="shared" si="13"/>
        <v>16566.187537040998</v>
      </c>
      <c r="CV16" s="74">
        <f t="shared" si="13"/>
        <v>16566.187537040998</v>
      </c>
      <c r="CW16" s="74">
        <f t="shared" si="13"/>
        <v>18213.128683803279</v>
      </c>
      <c r="CX16" s="74">
        <f t="shared" si="13"/>
        <v>18213.128683803279</v>
      </c>
      <c r="CY16" s="74">
        <f t="shared" si="13"/>
        <v>18213.128683803279</v>
      </c>
      <c r="CZ16" s="74">
        <f t="shared" si="13"/>
        <v>18213.128683803279</v>
      </c>
      <c r="DA16" s="74">
        <f t="shared" si="13"/>
        <v>18213.128683803279</v>
      </c>
      <c r="DB16" s="74">
        <f t="shared" si="13"/>
        <v>18213.128683803279</v>
      </c>
      <c r="DC16" s="74">
        <f t="shared" si="13"/>
        <v>18213.128683803279</v>
      </c>
      <c r="DD16" s="74">
        <f t="shared" si="13"/>
        <v>18213.128683803279</v>
      </c>
      <c r="DE16" s="74">
        <f t="shared" si="13"/>
        <v>18213.128683803279</v>
      </c>
      <c r="DF16" s="74">
        <f t="shared" si="13"/>
        <v>18213.128683803279</v>
      </c>
      <c r="DG16" s="74">
        <f t="shared" si="13"/>
        <v>18213.128683803279</v>
      </c>
      <c r="DH16" s="74">
        <f t="shared" ref="DH16:EF16" si="14">SUM(DH3:DH15)</f>
        <v>18213.128683803279</v>
      </c>
      <c r="DI16" s="74">
        <f t="shared" si="14"/>
        <v>20024.086512755843</v>
      </c>
      <c r="DJ16" s="74">
        <f t="shared" si="14"/>
        <v>20024.086512755843</v>
      </c>
      <c r="DK16" s="74">
        <f t="shared" si="14"/>
        <v>20024.086512755843</v>
      </c>
      <c r="DL16" s="74">
        <f t="shared" si="14"/>
        <v>20024.086512755843</v>
      </c>
      <c r="DM16" s="74">
        <f t="shared" si="14"/>
        <v>20024.086512755843</v>
      </c>
      <c r="DN16" s="74">
        <f t="shared" si="14"/>
        <v>20024.086512755843</v>
      </c>
      <c r="DO16" s="74">
        <f t="shared" si="14"/>
        <v>20024.086512755843</v>
      </c>
      <c r="DP16" s="74">
        <f t="shared" si="14"/>
        <v>20024.086512755843</v>
      </c>
      <c r="DQ16" s="74">
        <f t="shared" si="14"/>
        <v>20024.086512755843</v>
      </c>
      <c r="DR16" s="74">
        <f t="shared" si="14"/>
        <v>20024.086512755843</v>
      </c>
      <c r="DS16" s="74">
        <f t="shared" si="14"/>
        <v>20024.086512755843</v>
      </c>
      <c r="DT16" s="74">
        <f t="shared" si="14"/>
        <v>20024.086512755843</v>
      </c>
      <c r="DU16" s="74">
        <f t="shared" si="14"/>
        <v>22015.415271843733</v>
      </c>
      <c r="DV16" s="74">
        <f t="shared" si="14"/>
        <v>22015.415271843733</v>
      </c>
      <c r="DW16" s="74">
        <f t="shared" si="14"/>
        <v>22015.415271843733</v>
      </c>
      <c r="DX16" s="74">
        <f t="shared" si="14"/>
        <v>22015.415271843733</v>
      </c>
      <c r="DY16" s="74">
        <f t="shared" si="14"/>
        <v>22015.415271843733</v>
      </c>
      <c r="DZ16" s="74">
        <f t="shared" si="14"/>
        <v>22015.415271843733</v>
      </c>
      <c r="EA16" s="74">
        <f t="shared" si="14"/>
        <v>22015.415271843733</v>
      </c>
      <c r="EB16" s="74">
        <f t="shared" si="14"/>
        <v>22015.415271843733</v>
      </c>
      <c r="EC16" s="74">
        <f t="shared" si="14"/>
        <v>22015.415271843733</v>
      </c>
      <c r="ED16" s="74">
        <f t="shared" si="14"/>
        <v>22015.415271843733</v>
      </c>
      <c r="EE16" s="74">
        <f t="shared" si="14"/>
        <v>22015.415271843733</v>
      </c>
      <c r="EF16" s="74">
        <f t="shared" si="14"/>
        <v>22015.415271843733</v>
      </c>
    </row>
    <row r="17" spans="1:194" ht="13.15" customHeight="1">
      <c r="D17" s="395"/>
    </row>
    <row r="18" spans="1:194" ht="13.15" customHeight="1"/>
    <row r="20" spans="1:194">
      <c r="A20" s="94" t="s">
        <v>18</v>
      </c>
      <c r="B20" s="94" t="s">
        <v>126</v>
      </c>
      <c r="C20" s="124">
        <v>2022</v>
      </c>
      <c r="D20" s="124">
        <v>2023</v>
      </c>
      <c r="E20" s="124">
        <v>2024</v>
      </c>
      <c r="F20" s="124">
        <v>2025</v>
      </c>
      <c r="G20" s="124">
        <v>2026</v>
      </c>
      <c r="H20" s="124">
        <v>2027</v>
      </c>
      <c r="I20" s="124">
        <v>2028</v>
      </c>
      <c r="J20" s="124">
        <v>2029</v>
      </c>
      <c r="K20" s="124">
        <v>2030</v>
      </c>
      <c r="L20" s="124">
        <v>2031</v>
      </c>
      <c r="M20" s="124">
        <v>2032</v>
      </c>
    </row>
    <row r="21" spans="1:194" s="362" customFormat="1">
      <c r="A21" s="360" t="s">
        <v>37</v>
      </c>
      <c r="B21" s="361" t="str">
        <f t="shared" ref="B21:B28" si="15">B3</f>
        <v xml:space="preserve">Командировочные расходы </v>
      </c>
      <c r="C21" s="345">
        <f>SUM(E3:P3)</f>
        <v>0</v>
      </c>
      <c r="D21" s="345">
        <f>SUM(Q3:AB3)</f>
        <v>100</v>
      </c>
      <c r="E21" s="345">
        <f>SUM(AC3:AN3)</f>
        <v>1200</v>
      </c>
      <c r="F21" s="345">
        <f>SUM(AO3:AZ3)</f>
        <v>1320.0000000000002</v>
      </c>
      <c r="G21" s="345">
        <f>SUM(BA3:BL3)</f>
        <v>1452.0000000000002</v>
      </c>
      <c r="H21" s="345">
        <f>SUM(BM3:BX3)</f>
        <v>1597.200000000001</v>
      </c>
      <c r="I21" s="345">
        <f>SUM(BY3:CJ3)</f>
        <v>1756.920000000001</v>
      </c>
      <c r="J21" s="345">
        <f>SUM(CK3:CV3)</f>
        <v>1932.6120000000017</v>
      </c>
      <c r="K21" s="345">
        <f>SUM(CW3:DH3)</f>
        <v>2125.8732000000014</v>
      </c>
      <c r="L21" s="345">
        <f>SUM(DI3:DT3)</f>
        <v>2338.4605200000019</v>
      </c>
      <c r="M21" s="345">
        <f>SUM(DU3:EF3)</f>
        <v>2572.3065720000018</v>
      </c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</row>
    <row r="22" spans="1:194" s="362" customFormat="1">
      <c r="A22" s="360" t="s">
        <v>38</v>
      </c>
      <c r="B22" s="361" t="str">
        <f t="shared" si="15"/>
        <v>Оплата подрядным организациям</v>
      </c>
      <c r="C22" s="345">
        <f t="shared" ref="C22:C32" si="16">SUM(E4:P4)</f>
        <v>0</v>
      </c>
      <c r="D22" s="345">
        <f t="shared" ref="D22:D33" si="17">SUM(Q4:AB4)</f>
        <v>8000</v>
      </c>
      <c r="E22" s="345">
        <f t="shared" ref="E22:E33" si="18">SUM(AC4:AN4)</f>
        <v>96000</v>
      </c>
      <c r="F22" s="345">
        <f t="shared" ref="F22:F33" si="19">SUM(AO4:AZ4)</f>
        <v>105600</v>
      </c>
      <c r="G22" s="345">
        <f t="shared" ref="G22:G32" si="20">SUM(BA4:BL4)</f>
        <v>116160</v>
      </c>
      <c r="H22" s="345">
        <f t="shared" ref="H22:H33" si="21">SUM(BM4:BX4)</f>
        <v>127776</v>
      </c>
      <c r="I22" s="345">
        <f t="shared" ref="I22:I32" si="22">SUM(BY4:CJ4)</f>
        <v>140553.60000000001</v>
      </c>
      <c r="J22" s="345">
        <f t="shared" ref="J22:J32" si="23">SUM(CK4:CV4)</f>
        <v>154608.96000000002</v>
      </c>
      <c r="K22" s="345">
        <f t="shared" ref="K22:K33" si="24">SUM(CW4:DH4)</f>
        <v>170069.85600000003</v>
      </c>
      <c r="L22" s="345">
        <f t="shared" ref="L22:L33" si="25">SUM(DI4:DT4)</f>
        <v>187076.84160000007</v>
      </c>
      <c r="M22" s="345">
        <f t="shared" ref="M22:M33" si="26">SUM(DU4:EF4)</f>
        <v>205784.52576000008</v>
      </c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</row>
    <row r="23" spans="1:194" s="362" customFormat="1">
      <c r="A23" s="360" t="s">
        <v>137</v>
      </c>
      <c r="B23" s="361" t="str">
        <f t="shared" si="15"/>
        <v>Госпошлины</v>
      </c>
      <c r="C23" s="345">
        <f t="shared" si="16"/>
        <v>0</v>
      </c>
      <c r="D23" s="345">
        <f t="shared" si="17"/>
        <v>20</v>
      </c>
      <c r="E23" s="345">
        <f t="shared" si="18"/>
        <v>240</v>
      </c>
      <c r="F23" s="345">
        <f t="shared" si="19"/>
        <v>264</v>
      </c>
      <c r="G23" s="345">
        <f t="shared" si="20"/>
        <v>290.39999999999998</v>
      </c>
      <c r="H23" s="345">
        <f t="shared" si="21"/>
        <v>319.44000000000005</v>
      </c>
      <c r="I23" s="345">
        <f t="shared" si="22"/>
        <v>351.38400000000001</v>
      </c>
      <c r="J23" s="345">
        <f t="shared" si="23"/>
        <v>386.5224</v>
      </c>
      <c r="K23" s="345">
        <f t="shared" si="24"/>
        <v>425.17464000000001</v>
      </c>
      <c r="L23" s="345">
        <f t="shared" si="25"/>
        <v>467.69210400000026</v>
      </c>
      <c r="M23" s="345">
        <f t="shared" si="26"/>
        <v>514.46131440000011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</row>
    <row r="24" spans="1:194" s="362" customFormat="1">
      <c r="A24" s="360" t="s">
        <v>118</v>
      </c>
      <c r="B24" s="361" t="str">
        <f t="shared" si="15"/>
        <v>Представительские расходы</v>
      </c>
      <c r="C24" s="345">
        <f t="shared" si="16"/>
        <v>0</v>
      </c>
      <c r="D24" s="345">
        <f t="shared" si="17"/>
        <v>100</v>
      </c>
      <c r="E24" s="345">
        <f t="shared" si="18"/>
        <v>1200</v>
      </c>
      <c r="F24" s="345">
        <f t="shared" si="19"/>
        <v>1320.0000000000002</v>
      </c>
      <c r="G24" s="345">
        <f t="shared" si="20"/>
        <v>1452.0000000000002</v>
      </c>
      <c r="H24" s="345">
        <f t="shared" si="21"/>
        <v>1597.200000000001</v>
      </c>
      <c r="I24" s="345">
        <f t="shared" si="22"/>
        <v>1756.920000000001</v>
      </c>
      <c r="J24" s="345">
        <f t="shared" si="23"/>
        <v>1932.6120000000017</v>
      </c>
      <c r="K24" s="345">
        <f t="shared" si="24"/>
        <v>2125.8732000000014</v>
      </c>
      <c r="L24" s="345">
        <f t="shared" si="25"/>
        <v>2338.4605200000019</v>
      </c>
      <c r="M24" s="345">
        <f t="shared" si="26"/>
        <v>2572.3065720000018</v>
      </c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</row>
    <row r="25" spans="1:194" s="362" customFormat="1">
      <c r="A25" s="360" t="s">
        <v>139</v>
      </c>
      <c r="B25" s="361" t="str">
        <f t="shared" si="15"/>
        <v>Рекламные расходы</v>
      </c>
      <c r="C25" s="345">
        <f t="shared" si="16"/>
        <v>0</v>
      </c>
      <c r="D25" s="345">
        <f t="shared" si="17"/>
        <v>30</v>
      </c>
      <c r="E25" s="345">
        <f t="shared" si="18"/>
        <v>180</v>
      </c>
      <c r="F25" s="345">
        <f t="shared" si="19"/>
        <v>198</v>
      </c>
      <c r="G25" s="345">
        <f t="shared" si="20"/>
        <v>217.80000000000004</v>
      </c>
      <c r="H25" s="345">
        <f t="shared" si="21"/>
        <v>239.58000000000004</v>
      </c>
      <c r="I25" s="345">
        <f t="shared" si="22"/>
        <v>263.53800000000007</v>
      </c>
      <c r="J25" s="345">
        <f t="shared" si="23"/>
        <v>289.8918000000001</v>
      </c>
      <c r="K25" s="345">
        <f t="shared" si="24"/>
        <v>318.88098000000014</v>
      </c>
      <c r="L25" s="345">
        <f t="shared" si="25"/>
        <v>350.76907800000026</v>
      </c>
      <c r="M25" s="345">
        <f t="shared" si="26"/>
        <v>385.84598580000028</v>
      </c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</row>
    <row r="26" spans="1:194" s="362" customFormat="1">
      <c r="A26" s="360" t="s">
        <v>140</v>
      </c>
      <c r="B26" s="361" t="str">
        <f t="shared" si="15"/>
        <v>Чистка площадки, уборка мусора</v>
      </c>
      <c r="C26" s="345">
        <f t="shared" si="16"/>
        <v>0</v>
      </c>
      <c r="D26" s="345">
        <f t="shared" si="17"/>
        <v>300</v>
      </c>
      <c r="E26" s="345">
        <f t="shared" si="18"/>
        <v>1800</v>
      </c>
      <c r="F26" s="345">
        <f t="shared" si="19"/>
        <v>1980</v>
      </c>
      <c r="G26" s="345">
        <f t="shared" si="20"/>
        <v>2178.0000000000005</v>
      </c>
      <c r="H26" s="345">
        <f t="shared" si="21"/>
        <v>2395.8000000000006</v>
      </c>
      <c r="I26" s="345">
        <f t="shared" si="22"/>
        <v>2635.380000000001</v>
      </c>
      <c r="J26" s="345">
        <f t="shared" si="23"/>
        <v>2898.918000000001</v>
      </c>
      <c r="K26" s="345">
        <f t="shared" si="24"/>
        <v>3188.8098000000023</v>
      </c>
      <c r="L26" s="345">
        <f t="shared" si="25"/>
        <v>3507.6907800000013</v>
      </c>
      <c r="M26" s="345">
        <f t="shared" si="26"/>
        <v>3858.459858000002</v>
      </c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</row>
    <row r="27" spans="1:194" s="362" customFormat="1">
      <c r="A27" s="360" t="s">
        <v>224</v>
      </c>
      <c r="B27" s="361" t="str">
        <f t="shared" si="15"/>
        <v>Коммунальные расходы</v>
      </c>
      <c r="C27" s="345">
        <f t="shared" si="16"/>
        <v>0</v>
      </c>
      <c r="D27" s="345">
        <f t="shared" si="17"/>
        <v>230</v>
      </c>
      <c r="E27" s="345">
        <f t="shared" si="18"/>
        <v>1610</v>
      </c>
      <c r="F27" s="345">
        <f t="shared" si="19"/>
        <v>2953.1999999999994</v>
      </c>
      <c r="G27" s="345">
        <f t="shared" si="20"/>
        <v>3159.9240000000013</v>
      </c>
      <c r="H27" s="345">
        <f t="shared" si="21"/>
        <v>3381.1186800000019</v>
      </c>
      <c r="I27" s="345">
        <f t="shared" si="22"/>
        <v>3617.796987600002</v>
      </c>
      <c r="J27" s="345">
        <f t="shared" si="23"/>
        <v>3871.0427767320029</v>
      </c>
      <c r="K27" s="345">
        <f t="shared" si="24"/>
        <v>4142.0157711032416</v>
      </c>
      <c r="L27" s="345">
        <f t="shared" si="25"/>
        <v>4431.9568750804692</v>
      </c>
      <c r="M27" s="345">
        <f t="shared" si="26"/>
        <v>4742.1938563361018</v>
      </c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</row>
    <row r="28" spans="1:194" s="362" customFormat="1">
      <c r="A28" s="360" t="s">
        <v>230</v>
      </c>
      <c r="B28" s="361" t="str">
        <f t="shared" si="15"/>
        <v>Охрана труда</v>
      </c>
      <c r="C28" s="345">
        <f t="shared" si="16"/>
        <v>0</v>
      </c>
      <c r="D28" s="345">
        <f t="shared" si="17"/>
        <v>66</v>
      </c>
      <c r="E28" s="345">
        <f t="shared" si="18"/>
        <v>396</v>
      </c>
      <c r="F28" s="345">
        <f t="shared" si="19"/>
        <v>435.60000000000008</v>
      </c>
      <c r="G28" s="345">
        <f t="shared" si="20"/>
        <v>479.16000000000008</v>
      </c>
      <c r="H28" s="345">
        <f t="shared" si="21"/>
        <v>527.07600000000014</v>
      </c>
      <c r="I28" s="345">
        <f t="shared" si="22"/>
        <v>579.78360000000021</v>
      </c>
      <c r="J28" s="345">
        <f t="shared" si="23"/>
        <v>637.76196000000027</v>
      </c>
      <c r="K28" s="345">
        <f t="shared" si="24"/>
        <v>701.53815600000053</v>
      </c>
      <c r="L28" s="345">
        <f t="shared" si="25"/>
        <v>771.69197160000056</v>
      </c>
      <c r="M28" s="345">
        <f t="shared" si="26"/>
        <v>848.8611687600004</v>
      </c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</row>
    <row r="29" spans="1:194" s="362" customFormat="1">
      <c r="A29" s="360" t="s">
        <v>231</v>
      </c>
      <c r="B29" s="361" t="str">
        <f t="shared" ref="B29:B30" si="27">B11</f>
        <v>Упаковка</v>
      </c>
      <c r="C29" s="345">
        <f t="shared" si="16"/>
        <v>0</v>
      </c>
      <c r="D29" s="345">
        <f t="shared" si="17"/>
        <v>50</v>
      </c>
      <c r="E29" s="345">
        <f t="shared" si="18"/>
        <v>600</v>
      </c>
      <c r="F29" s="345">
        <f t="shared" si="19"/>
        <v>660.00000000000011</v>
      </c>
      <c r="G29" s="345">
        <f t="shared" si="20"/>
        <v>726.00000000000011</v>
      </c>
      <c r="H29" s="345">
        <f t="shared" si="21"/>
        <v>798.60000000000048</v>
      </c>
      <c r="I29" s="345">
        <f t="shared" si="22"/>
        <v>878.46000000000049</v>
      </c>
      <c r="J29" s="345">
        <f t="shared" si="23"/>
        <v>966.30600000000084</v>
      </c>
      <c r="K29" s="345">
        <f t="shared" si="24"/>
        <v>1062.9366000000007</v>
      </c>
      <c r="L29" s="345">
        <f t="shared" si="25"/>
        <v>1169.230260000001</v>
      </c>
      <c r="M29" s="345">
        <f t="shared" si="26"/>
        <v>1286.1532860000009</v>
      </c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</row>
    <row r="30" spans="1:194" s="362" customFormat="1">
      <c r="A30" s="360" t="s">
        <v>232</v>
      </c>
      <c r="B30" s="361" t="str">
        <f t="shared" si="27"/>
        <v>Хозрасходы, канцтовары</v>
      </c>
      <c r="C30" s="345">
        <f t="shared" si="16"/>
        <v>0</v>
      </c>
      <c r="D30" s="345">
        <f t="shared" si="17"/>
        <v>50</v>
      </c>
      <c r="E30" s="345">
        <f t="shared" si="18"/>
        <v>600</v>
      </c>
      <c r="F30" s="345">
        <f t="shared" si="19"/>
        <v>660.00000000000011</v>
      </c>
      <c r="G30" s="345">
        <f t="shared" si="20"/>
        <v>726.00000000000011</v>
      </c>
      <c r="H30" s="345">
        <f t="shared" si="21"/>
        <v>798.60000000000048</v>
      </c>
      <c r="I30" s="345">
        <f t="shared" si="22"/>
        <v>878.46000000000049</v>
      </c>
      <c r="J30" s="345">
        <f t="shared" si="23"/>
        <v>966.30600000000084</v>
      </c>
      <c r="K30" s="345">
        <f t="shared" si="24"/>
        <v>1062.9366000000007</v>
      </c>
      <c r="L30" s="345">
        <f t="shared" si="25"/>
        <v>1169.230260000001</v>
      </c>
      <c r="M30" s="345">
        <f t="shared" si="26"/>
        <v>1286.1532860000009</v>
      </c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</row>
    <row r="31" spans="1:194" s="362" customFormat="1">
      <c r="A31" s="360" t="s">
        <v>233</v>
      </c>
      <c r="B31" s="361" t="str">
        <f>B13</f>
        <v>Обслуживание линии порошковой окраски</v>
      </c>
      <c r="C31" s="345">
        <f t="shared" si="16"/>
        <v>0</v>
      </c>
      <c r="D31" s="345">
        <f t="shared" si="17"/>
        <v>202.5</v>
      </c>
      <c r="E31" s="345">
        <f t="shared" si="18"/>
        <v>2430</v>
      </c>
      <c r="F31" s="345">
        <f t="shared" si="19"/>
        <v>2673.0000000000005</v>
      </c>
      <c r="G31" s="345">
        <f t="shared" si="20"/>
        <v>2940.3000000000006</v>
      </c>
      <c r="H31" s="345">
        <f t="shared" si="21"/>
        <v>3234.3300000000013</v>
      </c>
      <c r="I31" s="345">
        <f t="shared" si="22"/>
        <v>3557.7630000000013</v>
      </c>
      <c r="J31" s="345">
        <f t="shared" si="23"/>
        <v>3913.5393000000008</v>
      </c>
      <c r="K31" s="345">
        <f t="shared" si="24"/>
        <v>4304.8932300000024</v>
      </c>
      <c r="L31" s="345">
        <f t="shared" si="25"/>
        <v>4735.3825530000031</v>
      </c>
      <c r="M31" s="345">
        <f t="shared" si="26"/>
        <v>5208.920808300004</v>
      </c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</row>
    <row r="32" spans="1:194" s="362" customFormat="1">
      <c r="A32" s="360" t="s">
        <v>234</v>
      </c>
      <c r="B32" s="361" t="str">
        <f>B14</f>
        <v xml:space="preserve">Обслуживание производства </v>
      </c>
      <c r="C32" s="345">
        <f t="shared" si="16"/>
        <v>0</v>
      </c>
      <c r="D32" s="345">
        <f t="shared" si="17"/>
        <v>74.498000000000005</v>
      </c>
      <c r="E32" s="345">
        <f t="shared" si="18"/>
        <v>893.97600000000023</v>
      </c>
      <c r="F32" s="345">
        <f t="shared" si="19"/>
        <v>983.37360000000024</v>
      </c>
      <c r="G32" s="345">
        <f t="shared" si="20"/>
        <v>1081.7109600000006</v>
      </c>
      <c r="H32" s="345">
        <f t="shared" si="21"/>
        <v>1189.8820560000004</v>
      </c>
      <c r="I32" s="345">
        <f t="shared" si="22"/>
        <v>1308.8702616000003</v>
      </c>
      <c r="J32" s="345">
        <f t="shared" si="23"/>
        <v>1439.7572877600012</v>
      </c>
      <c r="K32" s="345">
        <f t="shared" si="24"/>
        <v>1583.7330165360006</v>
      </c>
      <c r="L32" s="345">
        <f t="shared" si="25"/>
        <v>1742.1063181896013</v>
      </c>
      <c r="M32" s="345">
        <f t="shared" si="26"/>
        <v>1916.3169500085614</v>
      </c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</row>
    <row r="33" spans="1:13">
      <c r="A33" s="360" t="s">
        <v>239</v>
      </c>
      <c r="B33" s="51" t="s">
        <v>217</v>
      </c>
      <c r="C33" s="345">
        <f t="shared" ref="C33" si="28">SUM(E15:P15)</f>
        <v>0</v>
      </c>
      <c r="D33" s="345">
        <f t="shared" si="17"/>
        <v>2582</v>
      </c>
      <c r="E33" s="345">
        <f t="shared" si="18"/>
        <v>15492</v>
      </c>
      <c r="F33" s="345">
        <f t="shared" si="19"/>
        <v>17041.2</v>
      </c>
      <c r="G33" s="345">
        <f t="shared" ref="G33" si="29">SUM(BA15:BL15)</f>
        <v>18745.320000000003</v>
      </c>
      <c r="H33" s="345">
        <f t="shared" si="21"/>
        <v>20619.852000000003</v>
      </c>
      <c r="I33" s="345">
        <f t="shared" ref="I33" si="30">SUM(BY15:CJ15)</f>
        <v>22681.837200000005</v>
      </c>
      <c r="J33" s="345">
        <f t="shared" ref="J33" si="31">SUM(CK15:CV15)</f>
        <v>24950.020920000014</v>
      </c>
      <c r="K33" s="345">
        <f t="shared" si="24"/>
        <v>27445.023012000009</v>
      </c>
      <c r="L33" s="345">
        <f t="shared" si="25"/>
        <v>30189.525313200007</v>
      </c>
      <c r="M33" s="345">
        <f t="shared" si="26"/>
        <v>33208.477844520028</v>
      </c>
    </row>
    <row r="34" spans="1:13">
      <c r="A34" s="106"/>
      <c r="B34" s="106" t="s">
        <v>8</v>
      </c>
      <c r="C34" s="74">
        <f>SUM(E16:P16)</f>
        <v>0</v>
      </c>
      <c r="D34" s="74">
        <f>SUM(Q18:AB18)</f>
        <v>0</v>
      </c>
      <c r="E34" s="74">
        <f t="shared" ref="E34:M34" si="32">SUM(E21:E33)</f>
        <v>122641.976</v>
      </c>
      <c r="F34" s="74">
        <f t="shared" si="32"/>
        <v>136088.37360000002</v>
      </c>
      <c r="G34" s="74">
        <f t="shared" si="32"/>
        <v>149608.61496000001</v>
      </c>
      <c r="H34" s="74">
        <f t="shared" si="32"/>
        <v>164474.678736</v>
      </c>
      <c r="I34" s="74">
        <f t="shared" si="32"/>
        <v>180820.71304920004</v>
      </c>
      <c r="J34" s="74">
        <f t="shared" si="32"/>
        <v>198794.25044449206</v>
      </c>
      <c r="K34" s="74">
        <f t="shared" si="32"/>
        <v>218557.54420563925</v>
      </c>
      <c r="L34" s="74">
        <f t="shared" si="32"/>
        <v>240289.03815307014</v>
      </c>
      <c r="M34" s="74">
        <f t="shared" si="32"/>
        <v>264184.98326212476</v>
      </c>
    </row>
  </sheetData>
  <mergeCells count="11">
    <mergeCell ref="Q1:AB1"/>
    <mergeCell ref="CW1:DH1"/>
    <mergeCell ref="DI1:DT1"/>
    <mergeCell ref="DU1:EF1"/>
    <mergeCell ref="E1:P1"/>
    <mergeCell ref="CK1:CV1"/>
    <mergeCell ref="BY1:CJ1"/>
    <mergeCell ref="AC1:AN1"/>
    <mergeCell ref="AO1:AZ1"/>
    <mergeCell ref="BA1:BL1"/>
    <mergeCell ref="BM1:BX1"/>
  </mergeCells>
  <conditionalFormatting sqref="B33">
    <cfRule type="duplicateValues" dxfId="5" priority="3" stopIfTrue="1"/>
  </conditionalFormatting>
  <conditionalFormatting sqref="B25:B32">
    <cfRule type="duplicateValues" dxfId="4" priority="5" stopIfTrue="1"/>
  </conditionalFormatting>
  <conditionalFormatting sqref="B21:B32">
    <cfRule type="duplicateValues" dxfId="3" priority="109" stopIfTrue="1"/>
  </conditionalFormatting>
  <conditionalFormatting sqref="B3:B15">
    <cfRule type="duplicateValues" dxfId="2" priority="110" stopIfTrue="1"/>
  </conditionalFormatting>
  <conditionalFormatting sqref="B3:B14">
    <cfRule type="duplicateValues" dxfId="1" priority="111" stopIfTrue="1"/>
  </conditionalFormatting>
  <pageMargins left="0.25" right="0.25" top="0.75" bottom="0.75" header="0.3" footer="0.3"/>
  <pageSetup paperSize="9" scale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EF52"/>
  <sheetViews>
    <sheetView zoomScale="90" zoomScaleNormal="90" workbookViewId="0">
      <selection activeCell="P28" sqref="P28"/>
    </sheetView>
  </sheetViews>
  <sheetFormatPr defaultColWidth="9.140625" defaultRowHeight="12.75"/>
  <cols>
    <col min="1" max="1" width="8.28515625" style="84" customWidth="1"/>
    <col min="2" max="2" width="37.7109375" style="84" customWidth="1"/>
    <col min="3" max="3" width="11.140625" style="84" customWidth="1"/>
    <col min="4" max="4" width="13.42578125" style="84" customWidth="1"/>
    <col min="5" max="88" width="9" style="84" customWidth="1"/>
    <col min="89" max="93" width="9.42578125" style="84" customWidth="1"/>
    <col min="94" max="16384" width="9.140625" style="84"/>
  </cols>
  <sheetData>
    <row r="1" spans="1:136" s="10" customFormat="1" ht="16.5" thickBot="1">
      <c r="A1" s="56" t="s">
        <v>35</v>
      </c>
    </row>
    <row r="2" spans="1:136" s="99" customFormat="1" ht="18" customHeight="1" thickBot="1">
      <c r="A2" s="220" t="s">
        <v>169</v>
      </c>
      <c r="E2" s="445">
        <v>2023</v>
      </c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7"/>
      <c r="Q2" s="445">
        <v>2024</v>
      </c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7"/>
      <c r="AC2" s="445">
        <v>2025</v>
      </c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7"/>
      <c r="AO2" s="445">
        <v>2026</v>
      </c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7"/>
      <c r="BA2" s="445">
        <v>2027</v>
      </c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7"/>
      <c r="BM2" s="445">
        <v>2028</v>
      </c>
      <c r="BN2" s="446"/>
      <c r="BO2" s="446"/>
      <c r="BP2" s="446"/>
      <c r="BQ2" s="446"/>
      <c r="BR2" s="446"/>
      <c r="BS2" s="446"/>
      <c r="BT2" s="446"/>
      <c r="BU2" s="446"/>
      <c r="BV2" s="446"/>
      <c r="BW2" s="446"/>
      <c r="BX2" s="447"/>
      <c r="BY2" s="445">
        <v>2029</v>
      </c>
      <c r="BZ2" s="446"/>
      <c r="CA2" s="446"/>
      <c r="CB2" s="446"/>
      <c r="CC2" s="446"/>
      <c r="CD2" s="446"/>
      <c r="CE2" s="446"/>
      <c r="CF2" s="446"/>
      <c r="CG2" s="446"/>
      <c r="CH2" s="446"/>
      <c r="CI2" s="446"/>
      <c r="CJ2" s="447"/>
      <c r="CK2" s="445">
        <v>2030</v>
      </c>
      <c r="CL2" s="446"/>
      <c r="CM2" s="446"/>
      <c r="CN2" s="446"/>
      <c r="CO2" s="446"/>
      <c r="CP2" s="446"/>
      <c r="CQ2" s="446"/>
      <c r="CR2" s="446"/>
      <c r="CS2" s="446"/>
      <c r="CT2" s="446"/>
      <c r="CU2" s="446"/>
      <c r="CV2" s="447"/>
      <c r="CW2" s="445">
        <v>2031</v>
      </c>
      <c r="CX2" s="446"/>
      <c r="CY2" s="446"/>
      <c r="CZ2" s="446"/>
      <c r="DA2" s="446"/>
      <c r="DB2" s="446"/>
      <c r="DC2" s="446"/>
      <c r="DD2" s="446"/>
      <c r="DE2" s="446"/>
      <c r="DF2" s="446"/>
      <c r="DG2" s="446"/>
      <c r="DH2" s="447"/>
      <c r="DI2" s="445">
        <v>2032</v>
      </c>
      <c r="DJ2" s="446"/>
      <c r="DK2" s="446"/>
      <c r="DL2" s="446"/>
      <c r="DM2" s="446"/>
      <c r="DN2" s="446"/>
      <c r="DO2" s="446"/>
      <c r="DP2" s="446"/>
      <c r="DQ2" s="446"/>
      <c r="DR2" s="446"/>
      <c r="DS2" s="446"/>
      <c r="DT2" s="447"/>
      <c r="DU2" s="445"/>
      <c r="DV2" s="446"/>
      <c r="DW2" s="446"/>
      <c r="DX2" s="446"/>
      <c r="DY2" s="446"/>
      <c r="DZ2" s="446"/>
      <c r="EA2" s="446"/>
      <c r="EB2" s="446"/>
      <c r="EC2" s="446"/>
      <c r="ED2" s="446"/>
      <c r="EE2" s="446"/>
      <c r="EF2" s="447"/>
    </row>
    <row r="3" spans="1:136" s="64" customFormat="1" ht="39.75" customHeight="1">
      <c r="A3" s="100" t="s">
        <v>18</v>
      </c>
      <c r="B3" s="100" t="s">
        <v>19</v>
      </c>
      <c r="C3" s="100" t="s">
        <v>198</v>
      </c>
      <c r="D3" s="100" t="s">
        <v>216</v>
      </c>
      <c r="E3" s="87">
        <v>44927</v>
      </c>
      <c r="F3" s="87">
        <v>44958</v>
      </c>
      <c r="G3" s="87">
        <v>44986</v>
      </c>
      <c r="H3" s="87">
        <v>45017</v>
      </c>
      <c r="I3" s="87">
        <v>45047</v>
      </c>
      <c r="J3" s="87">
        <v>45078</v>
      </c>
      <c r="K3" s="87">
        <v>45108</v>
      </c>
      <c r="L3" s="87">
        <v>45139</v>
      </c>
      <c r="M3" s="87">
        <v>45170</v>
      </c>
      <c r="N3" s="87">
        <v>45200</v>
      </c>
      <c r="O3" s="87">
        <v>45231</v>
      </c>
      <c r="P3" s="87">
        <v>45261</v>
      </c>
      <c r="Q3" s="87">
        <v>45292</v>
      </c>
      <c r="R3" s="87">
        <v>45323</v>
      </c>
      <c r="S3" s="87">
        <v>45352</v>
      </c>
      <c r="T3" s="87">
        <v>45383</v>
      </c>
      <c r="U3" s="87">
        <v>45413</v>
      </c>
      <c r="V3" s="87">
        <v>45444</v>
      </c>
      <c r="W3" s="87">
        <v>45474</v>
      </c>
      <c r="X3" s="87">
        <v>45505</v>
      </c>
      <c r="Y3" s="87">
        <v>45536</v>
      </c>
      <c r="Z3" s="87">
        <v>45566</v>
      </c>
      <c r="AA3" s="87">
        <v>45597</v>
      </c>
      <c r="AB3" s="87">
        <v>45627</v>
      </c>
      <c r="AC3" s="87">
        <v>45658</v>
      </c>
      <c r="AD3" s="87">
        <v>45689</v>
      </c>
      <c r="AE3" s="87">
        <v>45717</v>
      </c>
      <c r="AF3" s="87">
        <v>45748</v>
      </c>
      <c r="AG3" s="87">
        <v>45778</v>
      </c>
      <c r="AH3" s="87">
        <v>45809</v>
      </c>
      <c r="AI3" s="87">
        <v>45839</v>
      </c>
      <c r="AJ3" s="87">
        <v>45870</v>
      </c>
      <c r="AK3" s="87">
        <v>45901</v>
      </c>
      <c r="AL3" s="87">
        <v>45931</v>
      </c>
      <c r="AM3" s="87">
        <v>45962</v>
      </c>
      <c r="AN3" s="87">
        <v>45992</v>
      </c>
      <c r="AO3" s="87">
        <v>46023</v>
      </c>
      <c r="AP3" s="87">
        <v>46054</v>
      </c>
      <c r="AQ3" s="87">
        <v>46082</v>
      </c>
      <c r="AR3" s="87">
        <v>46113</v>
      </c>
      <c r="AS3" s="87">
        <v>46143</v>
      </c>
      <c r="AT3" s="87">
        <v>46174</v>
      </c>
      <c r="AU3" s="87">
        <v>46204</v>
      </c>
      <c r="AV3" s="87">
        <v>46235</v>
      </c>
      <c r="AW3" s="87">
        <v>46266</v>
      </c>
      <c r="AX3" s="87">
        <v>46296</v>
      </c>
      <c r="AY3" s="87">
        <v>46327</v>
      </c>
      <c r="AZ3" s="87">
        <v>46357</v>
      </c>
      <c r="BA3" s="87">
        <v>46388</v>
      </c>
      <c r="BB3" s="87">
        <v>46419</v>
      </c>
      <c r="BC3" s="87">
        <v>46447</v>
      </c>
      <c r="BD3" s="87">
        <v>46478</v>
      </c>
      <c r="BE3" s="87">
        <v>46508</v>
      </c>
      <c r="BF3" s="87">
        <v>46539</v>
      </c>
      <c r="BG3" s="87">
        <v>46569</v>
      </c>
      <c r="BH3" s="87">
        <v>46600</v>
      </c>
      <c r="BI3" s="87">
        <v>46631</v>
      </c>
      <c r="BJ3" s="87">
        <v>46661</v>
      </c>
      <c r="BK3" s="87">
        <v>46692</v>
      </c>
      <c r="BL3" s="87">
        <v>46722</v>
      </c>
      <c r="BM3" s="87">
        <v>46753</v>
      </c>
      <c r="BN3" s="87">
        <v>46784</v>
      </c>
      <c r="BO3" s="87">
        <v>46813</v>
      </c>
      <c r="BP3" s="87">
        <v>46844</v>
      </c>
      <c r="BQ3" s="87">
        <v>46874</v>
      </c>
      <c r="BR3" s="87">
        <v>46905</v>
      </c>
      <c r="BS3" s="87">
        <v>46935</v>
      </c>
      <c r="BT3" s="87">
        <v>46966</v>
      </c>
      <c r="BU3" s="87">
        <v>46997</v>
      </c>
      <c r="BV3" s="87">
        <v>47027</v>
      </c>
      <c r="BW3" s="87">
        <v>47058</v>
      </c>
      <c r="BX3" s="87">
        <v>47088</v>
      </c>
      <c r="BY3" s="87">
        <v>47119</v>
      </c>
      <c r="BZ3" s="87">
        <v>47150</v>
      </c>
      <c r="CA3" s="87">
        <v>47178</v>
      </c>
      <c r="CB3" s="87">
        <v>47209</v>
      </c>
      <c r="CC3" s="87">
        <v>47239</v>
      </c>
      <c r="CD3" s="87">
        <v>47270</v>
      </c>
      <c r="CE3" s="87">
        <v>47300</v>
      </c>
      <c r="CF3" s="87">
        <v>47331</v>
      </c>
      <c r="CG3" s="87">
        <v>47362</v>
      </c>
      <c r="CH3" s="87">
        <v>47392</v>
      </c>
      <c r="CI3" s="87">
        <v>47423</v>
      </c>
      <c r="CJ3" s="87">
        <v>47453</v>
      </c>
      <c r="CK3" s="87">
        <v>47484</v>
      </c>
      <c r="CL3" s="87">
        <v>47515</v>
      </c>
      <c r="CM3" s="87">
        <v>47543</v>
      </c>
      <c r="CN3" s="87">
        <v>47574</v>
      </c>
      <c r="CO3" s="87">
        <v>47604</v>
      </c>
      <c r="CP3" s="87">
        <v>47635</v>
      </c>
      <c r="CQ3" s="87">
        <v>47665</v>
      </c>
      <c r="CR3" s="87">
        <v>47696</v>
      </c>
      <c r="CS3" s="87">
        <v>47727</v>
      </c>
      <c r="CT3" s="87">
        <v>47757</v>
      </c>
      <c r="CU3" s="87">
        <v>47788</v>
      </c>
      <c r="CV3" s="87">
        <v>47818</v>
      </c>
      <c r="CW3" s="87">
        <v>47849</v>
      </c>
      <c r="CX3" s="87">
        <v>47880</v>
      </c>
      <c r="CY3" s="87">
        <v>47908</v>
      </c>
      <c r="CZ3" s="87">
        <v>47939</v>
      </c>
      <c r="DA3" s="87">
        <v>47969</v>
      </c>
      <c r="DB3" s="87">
        <v>48000</v>
      </c>
      <c r="DC3" s="87">
        <v>48030</v>
      </c>
      <c r="DD3" s="87">
        <v>48061</v>
      </c>
      <c r="DE3" s="87">
        <v>48092</v>
      </c>
      <c r="DF3" s="87">
        <v>48122</v>
      </c>
      <c r="DG3" s="87">
        <v>48153</v>
      </c>
      <c r="DH3" s="87">
        <v>48183</v>
      </c>
      <c r="DI3" s="87">
        <v>48214</v>
      </c>
      <c r="DJ3" s="87">
        <v>48245</v>
      </c>
      <c r="DK3" s="87">
        <v>48274</v>
      </c>
      <c r="DL3" s="87">
        <v>48305</v>
      </c>
      <c r="DM3" s="87">
        <v>48335</v>
      </c>
      <c r="DN3" s="87">
        <v>48366</v>
      </c>
      <c r="DO3" s="87">
        <v>48396</v>
      </c>
      <c r="DP3" s="87">
        <v>48427</v>
      </c>
      <c r="DQ3" s="87">
        <v>48458</v>
      </c>
      <c r="DR3" s="87">
        <v>48488</v>
      </c>
      <c r="DS3" s="87">
        <v>48519</v>
      </c>
      <c r="DT3" s="87">
        <v>48549</v>
      </c>
    </row>
    <row r="4" spans="1:136" s="64" customFormat="1" ht="12.75" customHeight="1">
      <c r="A4" s="108">
        <v>1</v>
      </c>
      <c r="B4" s="109" t="s">
        <v>221</v>
      </c>
      <c r="C4" s="110">
        <f>SUM(C5:C12)</f>
        <v>13</v>
      </c>
      <c r="D4" s="110"/>
      <c r="E4" s="110">
        <f t="shared" ref="E4:Z4" si="0">SUM(E5:E12)</f>
        <v>0</v>
      </c>
      <c r="F4" s="110">
        <f t="shared" si="0"/>
        <v>0</v>
      </c>
      <c r="G4" s="110">
        <f t="shared" si="0"/>
        <v>0</v>
      </c>
      <c r="H4" s="110">
        <f t="shared" si="0"/>
        <v>0</v>
      </c>
      <c r="I4" s="110">
        <f t="shared" si="0"/>
        <v>0</v>
      </c>
      <c r="J4" s="110">
        <f t="shared" si="0"/>
        <v>0</v>
      </c>
      <c r="K4" s="110">
        <f t="shared" si="0"/>
        <v>0</v>
      </c>
      <c r="L4" s="110">
        <f t="shared" si="0"/>
        <v>0</v>
      </c>
      <c r="M4" s="110">
        <f t="shared" si="0"/>
        <v>0</v>
      </c>
      <c r="N4" s="110">
        <f t="shared" si="0"/>
        <v>0</v>
      </c>
      <c r="O4" s="110">
        <f t="shared" si="0"/>
        <v>1141</v>
      </c>
      <c r="P4" s="110">
        <f t="shared" si="0"/>
        <v>1141</v>
      </c>
      <c r="Q4" s="110">
        <f t="shared" si="0"/>
        <v>1141</v>
      </c>
      <c r="R4" s="110">
        <f t="shared" si="0"/>
        <v>1141</v>
      </c>
      <c r="S4" s="110">
        <f t="shared" si="0"/>
        <v>1141</v>
      </c>
      <c r="T4" s="110">
        <f t="shared" si="0"/>
        <v>1141</v>
      </c>
      <c r="U4" s="110">
        <f t="shared" si="0"/>
        <v>1141</v>
      </c>
      <c r="V4" s="110">
        <f t="shared" si="0"/>
        <v>1141</v>
      </c>
      <c r="W4" s="110">
        <f t="shared" si="0"/>
        <v>1141</v>
      </c>
      <c r="X4" s="110">
        <f t="shared" si="0"/>
        <v>1141</v>
      </c>
      <c r="Y4" s="110">
        <f t="shared" si="0"/>
        <v>1141</v>
      </c>
      <c r="Z4" s="110">
        <f t="shared" si="0"/>
        <v>1141</v>
      </c>
      <c r="AA4" s="110">
        <f t="shared" ref="AA4:BF4" si="1">SUM(AA5:AA12)</f>
        <v>1141</v>
      </c>
      <c r="AB4" s="110">
        <f t="shared" si="1"/>
        <v>1141</v>
      </c>
      <c r="AC4" s="110">
        <f t="shared" si="1"/>
        <v>1255.1000000000001</v>
      </c>
      <c r="AD4" s="110">
        <f t="shared" si="1"/>
        <v>1255.1000000000001</v>
      </c>
      <c r="AE4" s="110">
        <f t="shared" si="1"/>
        <v>1255.1000000000001</v>
      </c>
      <c r="AF4" s="110">
        <f t="shared" si="1"/>
        <v>1255.1000000000001</v>
      </c>
      <c r="AG4" s="110">
        <f t="shared" si="1"/>
        <v>1255.1000000000001</v>
      </c>
      <c r="AH4" s="110">
        <f t="shared" si="1"/>
        <v>1255.1000000000001</v>
      </c>
      <c r="AI4" s="110">
        <f t="shared" si="1"/>
        <v>1255.1000000000001</v>
      </c>
      <c r="AJ4" s="110">
        <f t="shared" si="1"/>
        <v>1255.1000000000001</v>
      </c>
      <c r="AK4" s="110">
        <f t="shared" si="1"/>
        <v>1255.1000000000001</v>
      </c>
      <c r="AL4" s="110">
        <f t="shared" si="1"/>
        <v>1255.1000000000001</v>
      </c>
      <c r="AM4" s="110">
        <f t="shared" si="1"/>
        <v>1255.1000000000001</v>
      </c>
      <c r="AN4" s="110">
        <f t="shared" si="1"/>
        <v>1255.1000000000001</v>
      </c>
      <c r="AO4" s="110">
        <f t="shared" si="1"/>
        <v>1380.6100000000001</v>
      </c>
      <c r="AP4" s="110">
        <f t="shared" si="1"/>
        <v>1380.6100000000001</v>
      </c>
      <c r="AQ4" s="110">
        <f t="shared" si="1"/>
        <v>1380.6100000000001</v>
      </c>
      <c r="AR4" s="110">
        <f t="shared" si="1"/>
        <v>1380.6100000000001</v>
      </c>
      <c r="AS4" s="110">
        <f t="shared" si="1"/>
        <v>1380.6100000000001</v>
      </c>
      <c r="AT4" s="110">
        <f t="shared" si="1"/>
        <v>1380.6100000000001</v>
      </c>
      <c r="AU4" s="110">
        <f t="shared" si="1"/>
        <v>1380.6100000000001</v>
      </c>
      <c r="AV4" s="110">
        <f t="shared" si="1"/>
        <v>1380.6100000000001</v>
      </c>
      <c r="AW4" s="110">
        <f t="shared" si="1"/>
        <v>1380.6100000000001</v>
      </c>
      <c r="AX4" s="110">
        <f t="shared" si="1"/>
        <v>1380.6100000000001</v>
      </c>
      <c r="AY4" s="110">
        <f t="shared" si="1"/>
        <v>1380.6100000000001</v>
      </c>
      <c r="AZ4" s="110">
        <f t="shared" si="1"/>
        <v>1380.6100000000001</v>
      </c>
      <c r="BA4" s="110">
        <f t="shared" si="1"/>
        <v>1518.6710000000003</v>
      </c>
      <c r="BB4" s="110">
        <f t="shared" si="1"/>
        <v>1518.6710000000003</v>
      </c>
      <c r="BC4" s="110">
        <f t="shared" si="1"/>
        <v>1518.6710000000003</v>
      </c>
      <c r="BD4" s="110">
        <f t="shared" si="1"/>
        <v>1518.6710000000003</v>
      </c>
      <c r="BE4" s="110">
        <f t="shared" si="1"/>
        <v>1518.6710000000003</v>
      </c>
      <c r="BF4" s="110">
        <f t="shared" si="1"/>
        <v>1518.6710000000003</v>
      </c>
      <c r="BG4" s="110">
        <f t="shared" ref="BG4:CL4" si="2">SUM(BG5:BG12)</f>
        <v>1518.6710000000003</v>
      </c>
      <c r="BH4" s="110">
        <f t="shared" si="2"/>
        <v>1518.6710000000003</v>
      </c>
      <c r="BI4" s="110">
        <f t="shared" si="2"/>
        <v>1518.6710000000003</v>
      </c>
      <c r="BJ4" s="110">
        <f t="shared" si="2"/>
        <v>1518.6710000000003</v>
      </c>
      <c r="BK4" s="110">
        <f t="shared" si="2"/>
        <v>1518.6710000000003</v>
      </c>
      <c r="BL4" s="110">
        <f t="shared" si="2"/>
        <v>1518.6710000000003</v>
      </c>
      <c r="BM4" s="110">
        <f t="shared" si="2"/>
        <v>1670.5381000000007</v>
      </c>
      <c r="BN4" s="110">
        <f t="shared" si="2"/>
        <v>1670.5381000000007</v>
      </c>
      <c r="BO4" s="110">
        <f t="shared" si="2"/>
        <v>1670.5381000000007</v>
      </c>
      <c r="BP4" s="110">
        <f t="shared" si="2"/>
        <v>1670.5381000000007</v>
      </c>
      <c r="BQ4" s="110">
        <f t="shared" si="2"/>
        <v>1670.5381000000007</v>
      </c>
      <c r="BR4" s="110">
        <f t="shared" si="2"/>
        <v>1670.5381000000007</v>
      </c>
      <c r="BS4" s="110">
        <f t="shared" si="2"/>
        <v>1670.5381000000007</v>
      </c>
      <c r="BT4" s="110">
        <f t="shared" si="2"/>
        <v>1670.5381000000007</v>
      </c>
      <c r="BU4" s="110">
        <f t="shared" si="2"/>
        <v>1670.5381000000007</v>
      </c>
      <c r="BV4" s="110">
        <f t="shared" si="2"/>
        <v>1670.5381000000007</v>
      </c>
      <c r="BW4" s="110">
        <f t="shared" si="2"/>
        <v>1670.5381000000007</v>
      </c>
      <c r="BX4" s="110">
        <f t="shared" si="2"/>
        <v>1670.5381000000007</v>
      </c>
      <c r="BY4" s="110">
        <f t="shared" si="2"/>
        <v>1837.5919100000008</v>
      </c>
      <c r="BZ4" s="110">
        <f t="shared" si="2"/>
        <v>1837.5919100000008</v>
      </c>
      <c r="CA4" s="110">
        <f t="shared" si="2"/>
        <v>1837.5919100000008</v>
      </c>
      <c r="CB4" s="110">
        <f t="shared" si="2"/>
        <v>1837.5919100000008</v>
      </c>
      <c r="CC4" s="110">
        <f t="shared" si="2"/>
        <v>1837.5919100000008</v>
      </c>
      <c r="CD4" s="110">
        <f t="shared" si="2"/>
        <v>1837.5919100000008</v>
      </c>
      <c r="CE4" s="110">
        <f t="shared" si="2"/>
        <v>1837.5919100000008</v>
      </c>
      <c r="CF4" s="110">
        <f t="shared" si="2"/>
        <v>1837.5919100000008</v>
      </c>
      <c r="CG4" s="110">
        <f t="shared" si="2"/>
        <v>1837.5919100000008</v>
      </c>
      <c r="CH4" s="110">
        <f t="shared" si="2"/>
        <v>1837.5919100000008</v>
      </c>
      <c r="CI4" s="110">
        <f t="shared" si="2"/>
        <v>1837.5919100000008</v>
      </c>
      <c r="CJ4" s="110">
        <f t="shared" si="2"/>
        <v>1837.5919100000008</v>
      </c>
      <c r="CK4" s="110">
        <f t="shared" si="2"/>
        <v>2021.3511010000011</v>
      </c>
      <c r="CL4" s="110">
        <f t="shared" si="2"/>
        <v>2021.3511010000011</v>
      </c>
      <c r="CM4" s="110">
        <f t="shared" ref="CM4:DR4" si="3">SUM(CM5:CM12)</f>
        <v>2021.3511010000011</v>
      </c>
      <c r="CN4" s="110">
        <f t="shared" si="3"/>
        <v>2021.3511010000011</v>
      </c>
      <c r="CO4" s="110">
        <f t="shared" si="3"/>
        <v>2021.3511010000011</v>
      </c>
      <c r="CP4" s="110">
        <f t="shared" si="3"/>
        <v>2021.3511010000011</v>
      </c>
      <c r="CQ4" s="110">
        <f t="shared" si="3"/>
        <v>2021.3511010000011</v>
      </c>
      <c r="CR4" s="110">
        <f t="shared" si="3"/>
        <v>2021.3511010000011</v>
      </c>
      <c r="CS4" s="110">
        <f t="shared" si="3"/>
        <v>2021.3511010000011</v>
      </c>
      <c r="CT4" s="110">
        <f t="shared" si="3"/>
        <v>2021.3511010000011</v>
      </c>
      <c r="CU4" s="110">
        <f t="shared" si="3"/>
        <v>2021.3511010000011</v>
      </c>
      <c r="CV4" s="110">
        <f t="shared" si="3"/>
        <v>2021.3511010000011</v>
      </c>
      <c r="CW4" s="110">
        <f t="shared" si="3"/>
        <v>2223.4862111000011</v>
      </c>
      <c r="CX4" s="110">
        <f t="shared" si="3"/>
        <v>2223.4862111000011</v>
      </c>
      <c r="CY4" s="110">
        <f t="shared" si="3"/>
        <v>2223.4862111000011</v>
      </c>
      <c r="CZ4" s="110">
        <f t="shared" si="3"/>
        <v>2223.4862111000011</v>
      </c>
      <c r="DA4" s="110">
        <f t="shared" si="3"/>
        <v>2223.4862111000011</v>
      </c>
      <c r="DB4" s="110">
        <f t="shared" si="3"/>
        <v>2223.4862111000011</v>
      </c>
      <c r="DC4" s="110">
        <f t="shared" si="3"/>
        <v>2223.4862111000011</v>
      </c>
      <c r="DD4" s="110">
        <f t="shared" si="3"/>
        <v>2223.4862111000011</v>
      </c>
      <c r="DE4" s="110">
        <f t="shared" si="3"/>
        <v>2223.4862111000011</v>
      </c>
      <c r="DF4" s="110">
        <f t="shared" si="3"/>
        <v>2223.4862111000011</v>
      </c>
      <c r="DG4" s="110">
        <f t="shared" si="3"/>
        <v>2223.4862111000011</v>
      </c>
      <c r="DH4" s="110">
        <f t="shared" si="3"/>
        <v>2223.4862111000011</v>
      </c>
      <c r="DI4" s="110">
        <f t="shared" si="3"/>
        <v>2445.8348322100014</v>
      </c>
      <c r="DJ4" s="110">
        <f t="shared" si="3"/>
        <v>2445.8348322100014</v>
      </c>
      <c r="DK4" s="110">
        <f t="shared" si="3"/>
        <v>2445.8348322100014</v>
      </c>
      <c r="DL4" s="110">
        <f t="shared" si="3"/>
        <v>2445.8348322100014</v>
      </c>
      <c r="DM4" s="110">
        <f t="shared" si="3"/>
        <v>2445.8348322100014</v>
      </c>
      <c r="DN4" s="110">
        <f t="shared" si="3"/>
        <v>2445.8348322100014</v>
      </c>
      <c r="DO4" s="110">
        <f t="shared" si="3"/>
        <v>2445.8348322100014</v>
      </c>
      <c r="DP4" s="110">
        <f t="shared" si="3"/>
        <v>2445.8348322100014</v>
      </c>
      <c r="DQ4" s="110">
        <f t="shared" si="3"/>
        <v>2445.8348322100014</v>
      </c>
      <c r="DR4" s="110">
        <f t="shared" si="3"/>
        <v>2445.8348322100014</v>
      </c>
      <c r="DS4" s="110">
        <f t="shared" ref="DS4:DT4" si="4">SUM(DS5:DS12)</f>
        <v>2445.8348322100014</v>
      </c>
      <c r="DT4" s="110">
        <f t="shared" si="4"/>
        <v>2445.8348322100014</v>
      </c>
    </row>
    <row r="5" spans="1:136" s="64" customFormat="1" ht="12.75" customHeight="1">
      <c r="A5" s="101" t="s">
        <v>37</v>
      </c>
      <c r="B5" s="102" t="s">
        <v>273</v>
      </c>
      <c r="C5" s="222">
        <v>1</v>
      </c>
      <c r="D5" s="223">
        <v>170</v>
      </c>
      <c r="E5" s="103">
        <v>0</v>
      </c>
      <c r="F5" s="103">
        <v>0</v>
      </c>
      <c r="G5" s="103">
        <v>0</v>
      </c>
      <c r="H5" s="103">
        <v>0</v>
      </c>
      <c r="I5" s="103">
        <v>0</v>
      </c>
      <c r="J5" s="103">
        <v>0</v>
      </c>
      <c r="K5" s="103">
        <v>0</v>
      </c>
      <c r="L5" s="103">
        <v>0</v>
      </c>
      <c r="M5" s="103">
        <v>0</v>
      </c>
      <c r="N5" s="103">
        <v>0</v>
      </c>
      <c r="O5" s="103">
        <f>$D$5*Исх.данные!$B$88*'Прогноз цен'!$B$34</f>
        <v>170</v>
      </c>
      <c r="P5" s="103">
        <f>$D$5*Исх.данные!$B$88*'Прогноз цен'!$B$34</f>
        <v>170</v>
      </c>
      <c r="Q5" s="103">
        <f>$D$5*Исх.данные!$B$88*'Прогноз цен'!$C$34</f>
        <v>170</v>
      </c>
      <c r="R5" s="103">
        <f>$D$5*Исх.данные!$B$88*'Прогноз цен'!$C$34</f>
        <v>170</v>
      </c>
      <c r="S5" s="103">
        <f>$D$5*Исх.данные!$B$88*'Прогноз цен'!$C$34</f>
        <v>170</v>
      </c>
      <c r="T5" s="103">
        <f>$D$5*Исх.данные!$B$88*'Прогноз цен'!$C$34</f>
        <v>170</v>
      </c>
      <c r="U5" s="103">
        <f>$D$5*Исх.данные!$B$88*'Прогноз цен'!$C$34</f>
        <v>170</v>
      </c>
      <c r="V5" s="103">
        <f>$D$5*Исх.данные!$B$88*'Прогноз цен'!$C$34</f>
        <v>170</v>
      </c>
      <c r="W5" s="103">
        <f>$D$5*Исх.данные!$B$88*'Прогноз цен'!$C$34</f>
        <v>170</v>
      </c>
      <c r="X5" s="103">
        <f>$D$5*Исх.данные!$B$88*'Прогноз цен'!$C$34</f>
        <v>170</v>
      </c>
      <c r="Y5" s="103">
        <f>$D$5*Исх.данные!$B$88*'Прогноз цен'!$C$34</f>
        <v>170</v>
      </c>
      <c r="Z5" s="103">
        <f>$D$5*Исх.данные!$B$88*'Прогноз цен'!$C$34</f>
        <v>170</v>
      </c>
      <c r="AA5" s="103">
        <f>$D$5*Исх.данные!$B$88*'Прогноз цен'!$C$34</f>
        <v>170</v>
      </c>
      <c r="AB5" s="103">
        <f>D5*Исх.данные!C88*'Прогноз цен'!$C$34</f>
        <v>170</v>
      </c>
      <c r="AC5" s="103">
        <f>$D$5*Исх.данные!$C$88*'Прогноз цен'!$D$34</f>
        <v>187.00000000000003</v>
      </c>
      <c r="AD5" s="103">
        <f>$D$5*Исх.данные!$C$88*'Прогноз цен'!$D$34</f>
        <v>187.00000000000003</v>
      </c>
      <c r="AE5" s="103">
        <f>$D$5*Исх.данные!$C$88*'Прогноз цен'!$D$34</f>
        <v>187.00000000000003</v>
      </c>
      <c r="AF5" s="103">
        <f>$D$5*Исх.данные!$C$88*'Прогноз цен'!$D$34</f>
        <v>187.00000000000003</v>
      </c>
      <c r="AG5" s="103">
        <f>$D$5*Исх.данные!$C$88*'Прогноз цен'!$D$34</f>
        <v>187.00000000000003</v>
      </c>
      <c r="AH5" s="103">
        <f>$D$5*Исх.данные!$C$88*'Прогноз цен'!$D$34</f>
        <v>187.00000000000003</v>
      </c>
      <c r="AI5" s="103">
        <f>$D$5*Исх.данные!$C$88*'Прогноз цен'!$D$34</f>
        <v>187.00000000000003</v>
      </c>
      <c r="AJ5" s="103">
        <f>$D$5*Исх.данные!$C$88*'Прогноз цен'!$D$34</f>
        <v>187.00000000000003</v>
      </c>
      <c r="AK5" s="103">
        <f>$D$5*Исх.данные!$C$88*'Прогноз цен'!$D$34</f>
        <v>187.00000000000003</v>
      </c>
      <c r="AL5" s="103">
        <f>$D$5*Исх.данные!$C$88*'Прогноз цен'!$D$34</f>
        <v>187.00000000000003</v>
      </c>
      <c r="AM5" s="103">
        <f>$D$5*Исх.данные!$D$88*'Прогноз цен'!$D$34</f>
        <v>187.00000000000003</v>
      </c>
      <c r="AN5" s="103">
        <f>$D$5*Исх.данные!$D$88*'Прогноз цен'!$D$34</f>
        <v>187.00000000000003</v>
      </c>
      <c r="AO5" s="103">
        <f>$AN$5*'Прогноз цен'!$E$34</f>
        <v>205.70000000000005</v>
      </c>
      <c r="AP5" s="103">
        <f>$AN$5*'Прогноз цен'!$E$34</f>
        <v>205.70000000000005</v>
      </c>
      <c r="AQ5" s="103">
        <f>$AN$5*'Прогноз цен'!$E$34</f>
        <v>205.70000000000005</v>
      </c>
      <c r="AR5" s="103">
        <f>$AN$5*'Прогноз цен'!$E$34</f>
        <v>205.70000000000005</v>
      </c>
      <c r="AS5" s="103">
        <f>$AN$5*'Прогноз цен'!$E$34</f>
        <v>205.70000000000005</v>
      </c>
      <c r="AT5" s="103">
        <f>$AN$5*'Прогноз цен'!$E$34</f>
        <v>205.70000000000005</v>
      </c>
      <c r="AU5" s="103">
        <f>$AN$5*'Прогноз цен'!$E$34</f>
        <v>205.70000000000005</v>
      </c>
      <c r="AV5" s="103">
        <f>$AN$5*'Прогноз цен'!$E$34</f>
        <v>205.70000000000005</v>
      </c>
      <c r="AW5" s="103">
        <f>$AN$5*'Прогноз цен'!$E$34</f>
        <v>205.70000000000005</v>
      </c>
      <c r="AX5" s="103">
        <f>$AN$5*'Прогноз цен'!$E$34</f>
        <v>205.70000000000005</v>
      </c>
      <c r="AY5" s="103">
        <f>$AN$5*'Прогноз цен'!$E$34</f>
        <v>205.70000000000005</v>
      </c>
      <c r="AZ5" s="103">
        <f>$AN$5*'Прогноз цен'!$E$34</f>
        <v>205.70000000000005</v>
      </c>
      <c r="BA5" s="103">
        <f>$AZ$5*'Прогноз цен'!$F$34</f>
        <v>226.27000000000007</v>
      </c>
      <c r="BB5" s="103">
        <f>$AZ$5*'Прогноз цен'!$F$34</f>
        <v>226.27000000000007</v>
      </c>
      <c r="BC5" s="103">
        <f>$AZ$5*'Прогноз цен'!$F$34</f>
        <v>226.27000000000007</v>
      </c>
      <c r="BD5" s="103">
        <f>$AZ$5*'Прогноз цен'!$F$34</f>
        <v>226.27000000000007</v>
      </c>
      <c r="BE5" s="103">
        <f>$AZ$5*'Прогноз цен'!$F$34</f>
        <v>226.27000000000007</v>
      </c>
      <c r="BF5" s="103">
        <f>$AZ$5*'Прогноз цен'!$F$34</f>
        <v>226.27000000000007</v>
      </c>
      <c r="BG5" s="103">
        <f>$AZ$5*'Прогноз цен'!$F$34</f>
        <v>226.27000000000007</v>
      </c>
      <c r="BH5" s="103">
        <f>$AZ$5*'Прогноз цен'!$F$34</f>
        <v>226.27000000000007</v>
      </c>
      <c r="BI5" s="103">
        <f>$AZ$5*'Прогноз цен'!$F$34</f>
        <v>226.27000000000007</v>
      </c>
      <c r="BJ5" s="103">
        <f>$AZ$5*'Прогноз цен'!$F$34</f>
        <v>226.27000000000007</v>
      </c>
      <c r="BK5" s="103">
        <f>$AZ$5*'Прогноз цен'!$F$34</f>
        <v>226.27000000000007</v>
      </c>
      <c r="BL5" s="103">
        <f>$AZ$5*'Прогноз цен'!$F$34</f>
        <v>226.27000000000007</v>
      </c>
      <c r="BM5" s="103">
        <f>$BL$5*'Прогноз цен'!$G$34</f>
        <v>248.89700000000011</v>
      </c>
      <c r="BN5" s="103">
        <f>$BL$5*'Прогноз цен'!$G$34</f>
        <v>248.89700000000011</v>
      </c>
      <c r="BO5" s="103">
        <f>$BL$5*'Прогноз цен'!$G$34</f>
        <v>248.89700000000011</v>
      </c>
      <c r="BP5" s="103">
        <f>$BL$5*'Прогноз цен'!$G$34</f>
        <v>248.89700000000011</v>
      </c>
      <c r="BQ5" s="103">
        <f>$BL$5*'Прогноз цен'!$G$34</f>
        <v>248.89700000000011</v>
      </c>
      <c r="BR5" s="103">
        <f>$BL$5*'Прогноз цен'!$G$34</f>
        <v>248.89700000000011</v>
      </c>
      <c r="BS5" s="103">
        <f>$BL$5*'Прогноз цен'!$G$34</f>
        <v>248.89700000000011</v>
      </c>
      <c r="BT5" s="103">
        <f>$BL$5*'Прогноз цен'!$G$34</f>
        <v>248.89700000000011</v>
      </c>
      <c r="BU5" s="103">
        <f>$BL$5*'Прогноз цен'!$G$34</f>
        <v>248.89700000000011</v>
      </c>
      <c r="BV5" s="103">
        <f>$BL$5*'Прогноз цен'!$G$34</f>
        <v>248.89700000000011</v>
      </c>
      <c r="BW5" s="103">
        <f>$BL$5*'Прогноз цен'!$G$34</f>
        <v>248.89700000000011</v>
      </c>
      <c r="BX5" s="103">
        <f>$BL$5*'Прогноз цен'!$G$34</f>
        <v>248.89700000000011</v>
      </c>
      <c r="BY5" s="103">
        <f>$BX$5*'Прогноз цен'!$H$34</f>
        <v>273.78670000000011</v>
      </c>
      <c r="BZ5" s="103">
        <f>$BX$5*'Прогноз цен'!$H$34</f>
        <v>273.78670000000011</v>
      </c>
      <c r="CA5" s="103">
        <f>$BX$5*'Прогноз цен'!$H$34</f>
        <v>273.78670000000011</v>
      </c>
      <c r="CB5" s="103">
        <f>$BX$5*'Прогноз цен'!$H$34</f>
        <v>273.78670000000011</v>
      </c>
      <c r="CC5" s="103">
        <f>$BX$5*'Прогноз цен'!$H$34</f>
        <v>273.78670000000011</v>
      </c>
      <c r="CD5" s="103">
        <f>$BX$5*'Прогноз цен'!$H$34</f>
        <v>273.78670000000011</v>
      </c>
      <c r="CE5" s="103">
        <f>$BX$5*'Прогноз цен'!$H$34</f>
        <v>273.78670000000011</v>
      </c>
      <c r="CF5" s="103">
        <f>$BX$5*'Прогноз цен'!$H$34</f>
        <v>273.78670000000011</v>
      </c>
      <c r="CG5" s="103">
        <f>$BX$5*'Прогноз цен'!$H$34</f>
        <v>273.78670000000011</v>
      </c>
      <c r="CH5" s="103">
        <f>$BX$5*'Прогноз цен'!$H$34</f>
        <v>273.78670000000011</v>
      </c>
      <c r="CI5" s="103">
        <f>$BX$5*'Прогноз цен'!$H$34</f>
        <v>273.78670000000011</v>
      </c>
      <c r="CJ5" s="103">
        <f>$BX$5*'Прогноз цен'!$H$34</f>
        <v>273.78670000000011</v>
      </c>
      <c r="CK5" s="103">
        <f>$CJ$5*'Прогноз цен'!$I$34</f>
        <v>301.16537000000017</v>
      </c>
      <c r="CL5" s="103">
        <f>$CJ$5*'Прогноз цен'!$I$34</f>
        <v>301.16537000000017</v>
      </c>
      <c r="CM5" s="103">
        <f>$CJ$5*'Прогноз цен'!$I$34</f>
        <v>301.16537000000017</v>
      </c>
      <c r="CN5" s="103">
        <f>$CJ$5*'Прогноз цен'!$I$34</f>
        <v>301.16537000000017</v>
      </c>
      <c r="CO5" s="103">
        <f>$CJ$5*'Прогноз цен'!$I$34</f>
        <v>301.16537000000017</v>
      </c>
      <c r="CP5" s="103">
        <f>$CJ$5*'Прогноз цен'!$I$34</f>
        <v>301.16537000000017</v>
      </c>
      <c r="CQ5" s="103">
        <f>$CJ$5*'Прогноз цен'!$I$34</f>
        <v>301.16537000000017</v>
      </c>
      <c r="CR5" s="103">
        <f>$CJ$5*'Прогноз цен'!$I$34</f>
        <v>301.16537000000017</v>
      </c>
      <c r="CS5" s="103">
        <f>$CJ$5*'Прогноз цен'!$I$34</f>
        <v>301.16537000000017</v>
      </c>
      <c r="CT5" s="103">
        <f>$CJ$5*'Прогноз цен'!$I$34</f>
        <v>301.16537000000017</v>
      </c>
      <c r="CU5" s="103">
        <f>$CJ$5*'Прогноз цен'!$I$34</f>
        <v>301.16537000000017</v>
      </c>
      <c r="CV5" s="103">
        <f>$CJ$5*'Прогноз цен'!$I$34</f>
        <v>301.16537000000017</v>
      </c>
      <c r="CW5" s="103">
        <f>$CV$5*'Прогноз цен'!$J$34</f>
        <v>331.28190700000022</v>
      </c>
      <c r="CX5" s="103">
        <f>$CV$5*'Прогноз цен'!$J$34</f>
        <v>331.28190700000022</v>
      </c>
      <c r="CY5" s="103">
        <f>$CV$5*'Прогноз цен'!$J$34</f>
        <v>331.28190700000022</v>
      </c>
      <c r="CZ5" s="103">
        <f>$CV$5*'Прогноз цен'!$J$34</f>
        <v>331.28190700000022</v>
      </c>
      <c r="DA5" s="103">
        <f>$CV$5*'Прогноз цен'!$J$34</f>
        <v>331.28190700000022</v>
      </c>
      <c r="DB5" s="103">
        <f>$CV$5*'Прогноз цен'!$J$34</f>
        <v>331.28190700000022</v>
      </c>
      <c r="DC5" s="103">
        <f>$CV$5*'Прогноз цен'!$J$34</f>
        <v>331.28190700000022</v>
      </c>
      <c r="DD5" s="103">
        <f>$CV$5*'Прогноз цен'!$J$34</f>
        <v>331.28190700000022</v>
      </c>
      <c r="DE5" s="103">
        <f>$CV$5*'Прогноз цен'!$J$34</f>
        <v>331.28190700000022</v>
      </c>
      <c r="DF5" s="103">
        <f>$CV$5*'Прогноз цен'!$J$34</f>
        <v>331.28190700000022</v>
      </c>
      <c r="DG5" s="103">
        <f>$CV$5*'Прогноз цен'!$J$34</f>
        <v>331.28190700000022</v>
      </c>
      <c r="DH5" s="103">
        <f>$CV$5*'Прогноз цен'!$J$34</f>
        <v>331.28190700000022</v>
      </c>
      <c r="DI5" s="103">
        <f>$DH$5*'Прогноз цен'!$K$34</f>
        <v>364.41009770000028</v>
      </c>
      <c r="DJ5" s="103">
        <f>$DH$5*'Прогноз цен'!$K$34</f>
        <v>364.41009770000028</v>
      </c>
      <c r="DK5" s="103">
        <f>$DH$5*'Прогноз цен'!$K$34</f>
        <v>364.41009770000028</v>
      </c>
      <c r="DL5" s="103">
        <f>$DH$5*'Прогноз цен'!$K$34</f>
        <v>364.41009770000028</v>
      </c>
      <c r="DM5" s="103">
        <f>$DH$5*'Прогноз цен'!$K$34</f>
        <v>364.41009770000028</v>
      </c>
      <c r="DN5" s="103">
        <f>$DH$5*'Прогноз цен'!$K$34</f>
        <v>364.41009770000028</v>
      </c>
      <c r="DO5" s="103">
        <f>$DH$5*'Прогноз цен'!$K$34</f>
        <v>364.41009770000028</v>
      </c>
      <c r="DP5" s="103">
        <f>$DH$5*'Прогноз цен'!$K$34</f>
        <v>364.41009770000028</v>
      </c>
      <c r="DQ5" s="103">
        <f>$DH$5*'Прогноз цен'!$K$34</f>
        <v>364.41009770000028</v>
      </c>
      <c r="DR5" s="103">
        <f>$DH$5*'Прогноз цен'!$K$34</f>
        <v>364.41009770000028</v>
      </c>
      <c r="DS5" s="103">
        <f>$DH$5*'Прогноз цен'!$K$34</f>
        <v>364.41009770000028</v>
      </c>
      <c r="DT5" s="103">
        <f>$DH$5*'Прогноз цен'!$K$34</f>
        <v>364.41009770000028</v>
      </c>
    </row>
    <row r="6" spans="1:136" s="64" customFormat="1" ht="12.75" customHeight="1">
      <c r="A6" s="101" t="s">
        <v>38</v>
      </c>
      <c r="B6" s="102" t="s">
        <v>274</v>
      </c>
      <c r="C6" s="222">
        <v>1</v>
      </c>
      <c r="D6" s="223">
        <v>50</v>
      </c>
      <c r="E6" s="103">
        <v>0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3">
        <f>$D$6*Исх.данные!$B$89*'Прогноз цен'!$B$34</f>
        <v>50</v>
      </c>
      <c r="P6" s="103">
        <f>$D$6*Исх.данные!$B$89*'Прогноз цен'!$B$34</f>
        <v>50</v>
      </c>
      <c r="Q6" s="103">
        <f>$D$6*Исх.данные!$B$89*'Прогноз цен'!$C$34</f>
        <v>50</v>
      </c>
      <c r="R6" s="103">
        <f>$D$6*Исх.данные!$B$89*'Прогноз цен'!$C$34</f>
        <v>50</v>
      </c>
      <c r="S6" s="103">
        <f>$D$6*Исх.данные!$B$89*'Прогноз цен'!$C$34</f>
        <v>50</v>
      </c>
      <c r="T6" s="103">
        <f>$D$6*Исх.данные!$B$89*'Прогноз цен'!$C$34</f>
        <v>50</v>
      </c>
      <c r="U6" s="103">
        <f>$D$6*Исх.данные!$B$89*'Прогноз цен'!$C$34</f>
        <v>50</v>
      </c>
      <c r="V6" s="103">
        <f>$D$6*Исх.данные!$B$89*'Прогноз цен'!$C$34</f>
        <v>50</v>
      </c>
      <c r="W6" s="103">
        <f>$D$6*Исх.данные!$B$89*'Прогноз цен'!$C$34</f>
        <v>50</v>
      </c>
      <c r="X6" s="103">
        <f>$D$6*Исх.данные!$B$89*'Прогноз цен'!$C$34</f>
        <v>50</v>
      </c>
      <c r="Y6" s="103">
        <f>$D$6*Исх.данные!$B$89*'Прогноз цен'!$C$34</f>
        <v>50</v>
      </c>
      <c r="Z6" s="103">
        <f>$D$6*Исх.данные!$B$89*'Прогноз цен'!$C$34</f>
        <v>50</v>
      </c>
      <c r="AA6" s="103">
        <f>$D$6*Исх.данные!$B$89*'Прогноз цен'!$C$34</f>
        <v>50</v>
      </c>
      <c r="AB6" s="103">
        <f>D6*Исх.данные!C89*'Прогноз цен'!$C$34</f>
        <v>50</v>
      </c>
      <c r="AC6" s="103">
        <f>$D$6*Исх.данные!$C$89*'Прогноз цен'!$D$34</f>
        <v>55.000000000000007</v>
      </c>
      <c r="AD6" s="103">
        <f>$D$6*Исх.данные!$C$89*'Прогноз цен'!$D$34</f>
        <v>55.000000000000007</v>
      </c>
      <c r="AE6" s="103">
        <f>$D$6*Исх.данные!$C$89*'Прогноз цен'!$D$34</f>
        <v>55.000000000000007</v>
      </c>
      <c r="AF6" s="103">
        <f>$D$6*Исх.данные!$C$89*'Прогноз цен'!$D$34</f>
        <v>55.000000000000007</v>
      </c>
      <c r="AG6" s="103">
        <f>$D$6*Исх.данные!$C$89*'Прогноз цен'!$D$34</f>
        <v>55.000000000000007</v>
      </c>
      <c r="AH6" s="103">
        <f>$D$6*Исх.данные!$C$89*'Прогноз цен'!$D$34</f>
        <v>55.000000000000007</v>
      </c>
      <c r="AI6" s="103">
        <f>$D$6*Исх.данные!$C$89*'Прогноз цен'!$D$34</f>
        <v>55.000000000000007</v>
      </c>
      <c r="AJ6" s="103">
        <f>$D$6*Исх.данные!$C$89*'Прогноз цен'!$D$34</f>
        <v>55.000000000000007</v>
      </c>
      <c r="AK6" s="103">
        <f>$D$6*Исх.данные!$C$89*'Прогноз цен'!$D$34</f>
        <v>55.000000000000007</v>
      </c>
      <c r="AL6" s="103">
        <f>$D$6*Исх.данные!$C$89*'Прогноз цен'!$D$34</f>
        <v>55.000000000000007</v>
      </c>
      <c r="AM6" s="103">
        <f>$D$6*Исх.данные!$D$89*'Прогноз цен'!$D$34</f>
        <v>55.000000000000007</v>
      </c>
      <c r="AN6" s="103">
        <f>$D$6*Исх.данные!$D$89*'Прогноз цен'!$D$34</f>
        <v>55.000000000000007</v>
      </c>
      <c r="AO6" s="103">
        <f>$AN$6*'Прогноз цен'!$E$34</f>
        <v>60.500000000000014</v>
      </c>
      <c r="AP6" s="103">
        <f>$AN$6*'Прогноз цен'!$E$34</f>
        <v>60.500000000000014</v>
      </c>
      <c r="AQ6" s="103">
        <f>$AN$6*'Прогноз цен'!$E$34</f>
        <v>60.500000000000014</v>
      </c>
      <c r="AR6" s="103">
        <f>$AN$6*'Прогноз цен'!$E$34</f>
        <v>60.500000000000014</v>
      </c>
      <c r="AS6" s="103">
        <f>$AN$6*'Прогноз цен'!$E$34</f>
        <v>60.500000000000014</v>
      </c>
      <c r="AT6" s="103">
        <f>$AN$6*'Прогноз цен'!$E$34</f>
        <v>60.500000000000014</v>
      </c>
      <c r="AU6" s="103">
        <f>$AN$6*'Прогноз цен'!$E$34</f>
        <v>60.500000000000014</v>
      </c>
      <c r="AV6" s="103">
        <f>$AN$6*'Прогноз цен'!$E$34</f>
        <v>60.500000000000014</v>
      </c>
      <c r="AW6" s="103">
        <f>$AN$6*'Прогноз цен'!$E$34</f>
        <v>60.500000000000014</v>
      </c>
      <c r="AX6" s="103">
        <f>$AN$6*'Прогноз цен'!$E$34</f>
        <v>60.500000000000014</v>
      </c>
      <c r="AY6" s="103">
        <f>$AN$6*'Прогноз цен'!$E$34</f>
        <v>60.500000000000014</v>
      </c>
      <c r="AZ6" s="103">
        <f>$AN$6*'Прогноз цен'!$E$34</f>
        <v>60.500000000000014</v>
      </c>
      <c r="BA6" s="103">
        <f>$AZ$6*'Прогноз цен'!$F$34</f>
        <v>66.550000000000026</v>
      </c>
      <c r="BB6" s="103">
        <f>$AZ$6*'Прогноз цен'!$F$34</f>
        <v>66.550000000000026</v>
      </c>
      <c r="BC6" s="103">
        <f>$AZ$6*'Прогноз цен'!$F$34</f>
        <v>66.550000000000026</v>
      </c>
      <c r="BD6" s="103">
        <f>$AZ$6*'Прогноз цен'!$F$34</f>
        <v>66.550000000000026</v>
      </c>
      <c r="BE6" s="103">
        <f>$AZ$6*'Прогноз цен'!$F$34</f>
        <v>66.550000000000026</v>
      </c>
      <c r="BF6" s="103">
        <f>$AZ$6*'Прогноз цен'!$F$34</f>
        <v>66.550000000000026</v>
      </c>
      <c r="BG6" s="103">
        <f>$AZ$6*'Прогноз цен'!$F$34</f>
        <v>66.550000000000026</v>
      </c>
      <c r="BH6" s="103">
        <f>$AZ$6*'Прогноз цен'!$F$34</f>
        <v>66.550000000000026</v>
      </c>
      <c r="BI6" s="103">
        <f>$AZ$6*'Прогноз цен'!$F$34</f>
        <v>66.550000000000026</v>
      </c>
      <c r="BJ6" s="103">
        <f>$AZ$6*'Прогноз цен'!$F$34</f>
        <v>66.550000000000026</v>
      </c>
      <c r="BK6" s="103">
        <f>$AZ$6*'Прогноз цен'!$F$34</f>
        <v>66.550000000000026</v>
      </c>
      <c r="BL6" s="103">
        <f>$AZ$6*'Прогноз цен'!$F$34</f>
        <v>66.550000000000026</v>
      </c>
      <c r="BM6" s="103">
        <f>$BL$6*'Прогноз цен'!$G$34</f>
        <v>73.205000000000041</v>
      </c>
      <c r="BN6" s="103">
        <f>$BL$6*'Прогноз цен'!$G$34</f>
        <v>73.205000000000041</v>
      </c>
      <c r="BO6" s="103">
        <f>$BL$6*'Прогноз цен'!$G$34</f>
        <v>73.205000000000041</v>
      </c>
      <c r="BP6" s="103">
        <f>$BL$6*'Прогноз цен'!$G$34</f>
        <v>73.205000000000041</v>
      </c>
      <c r="BQ6" s="103">
        <f>$BL$6*'Прогноз цен'!$G$34</f>
        <v>73.205000000000041</v>
      </c>
      <c r="BR6" s="103">
        <f>$BL$6*'Прогноз цен'!$G$34</f>
        <v>73.205000000000041</v>
      </c>
      <c r="BS6" s="103">
        <f>$BL$6*'Прогноз цен'!$G$34</f>
        <v>73.205000000000041</v>
      </c>
      <c r="BT6" s="103">
        <f>$BL$6*'Прогноз цен'!$G$34</f>
        <v>73.205000000000041</v>
      </c>
      <c r="BU6" s="103">
        <f>$BL$6*'Прогноз цен'!$G$34</f>
        <v>73.205000000000041</v>
      </c>
      <c r="BV6" s="103">
        <f>$BL$6*'Прогноз цен'!$G$34</f>
        <v>73.205000000000041</v>
      </c>
      <c r="BW6" s="103">
        <f>$BL$6*'Прогноз цен'!$G$34</f>
        <v>73.205000000000041</v>
      </c>
      <c r="BX6" s="103">
        <f>$BL$6*'Прогноз цен'!$G$34</f>
        <v>73.205000000000041</v>
      </c>
      <c r="BY6" s="103">
        <f>$BX$6*'Прогноз цен'!$H$34</f>
        <v>80.525500000000051</v>
      </c>
      <c r="BZ6" s="103">
        <f>$BX$6*'Прогноз цен'!$H$34</f>
        <v>80.525500000000051</v>
      </c>
      <c r="CA6" s="103">
        <f>$BX$6*'Прогноз цен'!$H$34</f>
        <v>80.525500000000051</v>
      </c>
      <c r="CB6" s="103">
        <f>$BX$6*'Прогноз цен'!$H$34</f>
        <v>80.525500000000051</v>
      </c>
      <c r="CC6" s="103">
        <f>$BX$6*'Прогноз цен'!$H$34</f>
        <v>80.525500000000051</v>
      </c>
      <c r="CD6" s="103">
        <f>$BX$6*'Прогноз цен'!$H$34</f>
        <v>80.525500000000051</v>
      </c>
      <c r="CE6" s="103">
        <f>$BX$6*'Прогноз цен'!$H$34</f>
        <v>80.525500000000051</v>
      </c>
      <c r="CF6" s="103">
        <f>$BX$6*'Прогноз цен'!$H$34</f>
        <v>80.525500000000051</v>
      </c>
      <c r="CG6" s="103">
        <f>$BX$6*'Прогноз цен'!$H$34</f>
        <v>80.525500000000051</v>
      </c>
      <c r="CH6" s="103">
        <f>$BX$6*'Прогноз цен'!$H$34</f>
        <v>80.525500000000051</v>
      </c>
      <c r="CI6" s="103">
        <f>$BX$6*'Прогноз цен'!$H$34</f>
        <v>80.525500000000051</v>
      </c>
      <c r="CJ6" s="103">
        <f>$BX$6*'Прогноз цен'!$H$34</f>
        <v>80.525500000000051</v>
      </c>
      <c r="CK6" s="103">
        <f>$CJ$6*'Прогноз цен'!$I$34</f>
        <v>88.578050000000061</v>
      </c>
      <c r="CL6" s="103">
        <f>$CJ$6*'Прогноз цен'!$I$34</f>
        <v>88.578050000000061</v>
      </c>
      <c r="CM6" s="103">
        <f>$CJ$6*'Прогноз цен'!$I$34</f>
        <v>88.578050000000061</v>
      </c>
      <c r="CN6" s="103">
        <f>$CJ$6*'Прогноз цен'!$I$34</f>
        <v>88.578050000000061</v>
      </c>
      <c r="CO6" s="103">
        <f>$CJ$6*'Прогноз цен'!$I$34</f>
        <v>88.578050000000061</v>
      </c>
      <c r="CP6" s="103">
        <f>$CJ$6*'Прогноз цен'!$I$34</f>
        <v>88.578050000000061</v>
      </c>
      <c r="CQ6" s="103">
        <f>$CJ$6*'Прогноз цен'!$I$34</f>
        <v>88.578050000000061</v>
      </c>
      <c r="CR6" s="103">
        <f>$CJ$6*'Прогноз цен'!$I$34</f>
        <v>88.578050000000061</v>
      </c>
      <c r="CS6" s="103">
        <f>$CJ$6*'Прогноз цен'!$I$34</f>
        <v>88.578050000000061</v>
      </c>
      <c r="CT6" s="103">
        <f>$CJ$6*'Прогноз цен'!$I$34</f>
        <v>88.578050000000061</v>
      </c>
      <c r="CU6" s="103">
        <f>$CJ$6*'Прогноз цен'!$I$34</f>
        <v>88.578050000000061</v>
      </c>
      <c r="CV6" s="103">
        <f>$CJ$6*'Прогноз цен'!$I$34</f>
        <v>88.578050000000061</v>
      </c>
      <c r="CW6" s="103">
        <f>$CV$6*'Прогноз цен'!$J$34</f>
        <v>97.435855000000075</v>
      </c>
      <c r="CX6" s="103">
        <f>$CV$6*'Прогноз цен'!$J$34</f>
        <v>97.435855000000075</v>
      </c>
      <c r="CY6" s="103">
        <f>$CV$6*'Прогноз цен'!$J$34</f>
        <v>97.435855000000075</v>
      </c>
      <c r="CZ6" s="103">
        <f>$CV$6*'Прогноз цен'!$J$34</f>
        <v>97.435855000000075</v>
      </c>
      <c r="DA6" s="103">
        <f>$CV$6*'Прогноз цен'!$J$34</f>
        <v>97.435855000000075</v>
      </c>
      <c r="DB6" s="103">
        <f>$CV$6*'Прогноз цен'!$J$34</f>
        <v>97.435855000000075</v>
      </c>
      <c r="DC6" s="103">
        <f>$CV$6*'Прогноз цен'!$J$34</f>
        <v>97.435855000000075</v>
      </c>
      <c r="DD6" s="103">
        <f>$CV$6*'Прогноз цен'!$J$34</f>
        <v>97.435855000000075</v>
      </c>
      <c r="DE6" s="103">
        <f>$CV$6*'Прогноз цен'!$J$34</f>
        <v>97.435855000000075</v>
      </c>
      <c r="DF6" s="103">
        <f>$CV$6*'Прогноз цен'!$J$34</f>
        <v>97.435855000000075</v>
      </c>
      <c r="DG6" s="103">
        <f>$CV$6*'Прогноз цен'!$J$34</f>
        <v>97.435855000000075</v>
      </c>
      <c r="DH6" s="103">
        <f>$CV$6*'Прогноз цен'!$J$34</f>
        <v>97.435855000000075</v>
      </c>
      <c r="DI6" s="103">
        <f>$DH$6*'Прогноз цен'!$K$34</f>
        <v>107.1794405000001</v>
      </c>
      <c r="DJ6" s="103">
        <f>$DH$6*'Прогноз цен'!$K$34</f>
        <v>107.1794405000001</v>
      </c>
      <c r="DK6" s="103">
        <f>$DH$6*'Прогноз цен'!$K$34</f>
        <v>107.1794405000001</v>
      </c>
      <c r="DL6" s="103">
        <f>$DH$6*'Прогноз цен'!$K$34</f>
        <v>107.1794405000001</v>
      </c>
      <c r="DM6" s="103">
        <f>$DH$6*'Прогноз цен'!$K$34</f>
        <v>107.1794405000001</v>
      </c>
      <c r="DN6" s="103">
        <f>$DH$6*'Прогноз цен'!$K$34</f>
        <v>107.1794405000001</v>
      </c>
      <c r="DO6" s="103">
        <f>$DH$6*'Прогноз цен'!$K$34</f>
        <v>107.1794405000001</v>
      </c>
      <c r="DP6" s="103">
        <f>$DH$6*'Прогноз цен'!$K$34</f>
        <v>107.1794405000001</v>
      </c>
      <c r="DQ6" s="103">
        <f>$DH$6*'Прогноз цен'!$K$34</f>
        <v>107.1794405000001</v>
      </c>
      <c r="DR6" s="103">
        <f>$DH$6*'Прогноз цен'!$K$34</f>
        <v>107.1794405000001</v>
      </c>
      <c r="DS6" s="103">
        <f>$DH$6*'Прогноз цен'!$K$34</f>
        <v>107.1794405000001</v>
      </c>
      <c r="DT6" s="103">
        <f>$DH$6*'Прогноз цен'!$K$34</f>
        <v>107.1794405000001</v>
      </c>
    </row>
    <row r="7" spans="1:136" s="64" customFormat="1" ht="12.75" customHeight="1">
      <c r="A7" s="101" t="s">
        <v>137</v>
      </c>
      <c r="B7" s="102" t="s">
        <v>275</v>
      </c>
      <c r="C7" s="222">
        <v>1</v>
      </c>
      <c r="D7" s="223">
        <v>57</v>
      </c>
      <c r="E7" s="103">
        <v>0</v>
      </c>
      <c r="F7" s="103">
        <v>0</v>
      </c>
      <c r="G7" s="103">
        <v>0</v>
      </c>
      <c r="H7" s="103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3">
        <f>$D$7*Исх.данные!$B$90*'Прогноз цен'!$B$34</f>
        <v>57</v>
      </c>
      <c r="P7" s="103">
        <f>$D$7*Исх.данные!$B$90*'Прогноз цен'!$B$34</f>
        <v>57</v>
      </c>
      <c r="Q7" s="103">
        <f>$D$7*Исх.данные!$B$90*'Прогноз цен'!$C$34</f>
        <v>57</v>
      </c>
      <c r="R7" s="103">
        <f>$D$7*Исх.данные!$B$90*'Прогноз цен'!$C$34</f>
        <v>57</v>
      </c>
      <c r="S7" s="103">
        <f>$D$7*Исх.данные!$B$90*'Прогноз цен'!$C$34</f>
        <v>57</v>
      </c>
      <c r="T7" s="103">
        <f>$D$7*Исх.данные!$B$90*'Прогноз цен'!$C$34</f>
        <v>57</v>
      </c>
      <c r="U7" s="103">
        <f>$D$7*Исх.данные!$B$90*'Прогноз цен'!$C$34</f>
        <v>57</v>
      </c>
      <c r="V7" s="103">
        <f>$D$7*Исх.данные!$B$90*'Прогноз цен'!$C$34</f>
        <v>57</v>
      </c>
      <c r="W7" s="103">
        <f>$D$7*Исх.данные!$B$90*'Прогноз цен'!$C$34</f>
        <v>57</v>
      </c>
      <c r="X7" s="103">
        <f>$D$7*Исх.данные!$B$90*'Прогноз цен'!$C$34</f>
        <v>57</v>
      </c>
      <c r="Y7" s="103">
        <f>$D$7*Исх.данные!$B$90*'Прогноз цен'!$C$34</f>
        <v>57</v>
      </c>
      <c r="Z7" s="103">
        <f>$D$7*Исх.данные!$B$90*'Прогноз цен'!$C$34</f>
        <v>57</v>
      </c>
      <c r="AA7" s="103">
        <f>$D$7*Исх.данные!$B$90*'Прогноз цен'!$C$34</f>
        <v>57</v>
      </c>
      <c r="AB7" s="103">
        <f>D7*Исх.данные!C90*'Прогноз цен'!$C$34</f>
        <v>57</v>
      </c>
      <c r="AC7" s="103">
        <f>$D$7*Исх.данные!$C$90*'Прогноз цен'!$D$34</f>
        <v>62.7</v>
      </c>
      <c r="AD7" s="103">
        <f>$D$7*Исх.данные!$C$90*'Прогноз цен'!$D$34</f>
        <v>62.7</v>
      </c>
      <c r="AE7" s="103">
        <f>$D$7*Исх.данные!$C$90*'Прогноз цен'!$D$34</f>
        <v>62.7</v>
      </c>
      <c r="AF7" s="103">
        <f>$D$7*Исх.данные!$C$90*'Прогноз цен'!$D$34</f>
        <v>62.7</v>
      </c>
      <c r="AG7" s="103">
        <f>$D$7*Исх.данные!$C$90*'Прогноз цен'!$D$34</f>
        <v>62.7</v>
      </c>
      <c r="AH7" s="103">
        <f>$D$7*Исх.данные!$C$90*'Прогноз цен'!$D$34</f>
        <v>62.7</v>
      </c>
      <c r="AI7" s="103">
        <f>$D$7*Исх.данные!$C$90*'Прогноз цен'!$D$34</f>
        <v>62.7</v>
      </c>
      <c r="AJ7" s="103">
        <f>$D$7*Исх.данные!$C$90*'Прогноз цен'!$D$34</f>
        <v>62.7</v>
      </c>
      <c r="AK7" s="103">
        <f>$D$7*Исх.данные!$C$90*'Прогноз цен'!$D$34</f>
        <v>62.7</v>
      </c>
      <c r="AL7" s="103">
        <f>$D$7*Исх.данные!$C$90*'Прогноз цен'!$D$34</f>
        <v>62.7</v>
      </c>
      <c r="AM7" s="103">
        <f>$D$7*Исх.данные!$D$90*'Прогноз цен'!$D$34</f>
        <v>62.7</v>
      </c>
      <c r="AN7" s="103">
        <f>$D$7*Исх.данные!$D$90*'Прогноз цен'!$D$34</f>
        <v>62.7</v>
      </c>
      <c r="AO7" s="103">
        <f>$AN$7*'Прогноз цен'!$E$34</f>
        <v>68.970000000000013</v>
      </c>
      <c r="AP7" s="103">
        <f>$AN$7*'Прогноз цен'!$E$34</f>
        <v>68.970000000000013</v>
      </c>
      <c r="AQ7" s="103">
        <f>$AN$7*'Прогноз цен'!$E$34</f>
        <v>68.970000000000013</v>
      </c>
      <c r="AR7" s="103">
        <f>$AN$7*'Прогноз цен'!$E$34</f>
        <v>68.970000000000013</v>
      </c>
      <c r="AS7" s="103">
        <f>$AN$7*'Прогноз цен'!$E$34</f>
        <v>68.970000000000013</v>
      </c>
      <c r="AT7" s="103">
        <f>$AN$7*'Прогноз цен'!$E$34</f>
        <v>68.970000000000013</v>
      </c>
      <c r="AU7" s="103">
        <f>$AN$7*'Прогноз цен'!$E$34</f>
        <v>68.970000000000013</v>
      </c>
      <c r="AV7" s="103">
        <f>$AN$7*'Прогноз цен'!$E$34</f>
        <v>68.970000000000013</v>
      </c>
      <c r="AW7" s="103">
        <f>$AN$7*'Прогноз цен'!$E$34</f>
        <v>68.970000000000013</v>
      </c>
      <c r="AX7" s="103">
        <f>$AN$7*'Прогноз цен'!$E$34</f>
        <v>68.970000000000013</v>
      </c>
      <c r="AY7" s="103">
        <f>$AN$7*'Прогноз цен'!$E$34</f>
        <v>68.970000000000013</v>
      </c>
      <c r="AZ7" s="103">
        <f>$AN$7*'Прогноз цен'!$E$34</f>
        <v>68.970000000000013</v>
      </c>
      <c r="BA7" s="103">
        <f>$AZ$7*'Прогноз цен'!$F$34</f>
        <v>75.867000000000019</v>
      </c>
      <c r="BB7" s="103">
        <f>$AZ$7*'Прогноз цен'!$F$34</f>
        <v>75.867000000000019</v>
      </c>
      <c r="BC7" s="103">
        <f>$AZ$7*'Прогноз цен'!$F$34</f>
        <v>75.867000000000019</v>
      </c>
      <c r="BD7" s="103">
        <f>$AZ$7*'Прогноз цен'!$F$34</f>
        <v>75.867000000000019</v>
      </c>
      <c r="BE7" s="103">
        <f>$AZ$7*'Прогноз цен'!$F$34</f>
        <v>75.867000000000019</v>
      </c>
      <c r="BF7" s="103">
        <f>$AZ$7*'Прогноз цен'!$F$34</f>
        <v>75.867000000000019</v>
      </c>
      <c r="BG7" s="103">
        <f>$AZ$7*'Прогноз цен'!$F$34</f>
        <v>75.867000000000019</v>
      </c>
      <c r="BH7" s="103">
        <f>$AZ$7*'Прогноз цен'!$F$34</f>
        <v>75.867000000000019</v>
      </c>
      <c r="BI7" s="103">
        <f>$AZ$7*'Прогноз цен'!$F$34</f>
        <v>75.867000000000019</v>
      </c>
      <c r="BJ7" s="103">
        <f>$AZ$7*'Прогноз цен'!$F$34</f>
        <v>75.867000000000019</v>
      </c>
      <c r="BK7" s="103">
        <f>$AZ$7*'Прогноз цен'!$F$34</f>
        <v>75.867000000000019</v>
      </c>
      <c r="BL7" s="103">
        <f>$AZ$7*'Прогноз цен'!$F$34</f>
        <v>75.867000000000019</v>
      </c>
      <c r="BM7" s="103">
        <f>$BL$7*'Прогноз цен'!$G$34</f>
        <v>83.453700000000026</v>
      </c>
      <c r="BN7" s="103">
        <f>$BL$7*'Прогноз цен'!$G$34</f>
        <v>83.453700000000026</v>
      </c>
      <c r="BO7" s="103">
        <f>$BL$7*'Прогноз цен'!$G$34</f>
        <v>83.453700000000026</v>
      </c>
      <c r="BP7" s="103">
        <f>$BL$7*'Прогноз цен'!$G$34</f>
        <v>83.453700000000026</v>
      </c>
      <c r="BQ7" s="103">
        <f>$BL$7*'Прогноз цен'!$G$34</f>
        <v>83.453700000000026</v>
      </c>
      <c r="BR7" s="103">
        <f>$BL$7*'Прогноз цен'!$G$34</f>
        <v>83.453700000000026</v>
      </c>
      <c r="BS7" s="103">
        <f>$BL$7*'Прогноз цен'!$G$34</f>
        <v>83.453700000000026</v>
      </c>
      <c r="BT7" s="103">
        <f>$BL$7*'Прогноз цен'!$G$34</f>
        <v>83.453700000000026</v>
      </c>
      <c r="BU7" s="103">
        <f>$BL$7*'Прогноз цен'!$G$34</f>
        <v>83.453700000000026</v>
      </c>
      <c r="BV7" s="103">
        <f>$BL$7*'Прогноз цен'!$G$34</f>
        <v>83.453700000000026</v>
      </c>
      <c r="BW7" s="103">
        <f>$BL$7*'Прогноз цен'!$G$34</f>
        <v>83.453700000000026</v>
      </c>
      <c r="BX7" s="103">
        <f>$BL$7*'Прогноз цен'!$G$34</f>
        <v>83.453700000000026</v>
      </c>
      <c r="BY7" s="103">
        <f>$BX$7*'Прогноз цен'!$H$34</f>
        <v>91.799070000000043</v>
      </c>
      <c r="BZ7" s="103">
        <f>$BX$7*'Прогноз цен'!$H$34</f>
        <v>91.799070000000043</v>
      </c>
      <c r="CA7" s="103">
        <f>$BX$7*'Прогноз цен'!$H$34</f>
        <v>91.799070000000043</v>
      </c>
      <c r="CB7" s="103">
        <f>$BX$7*'Прогноз цен'!$H$34</f>
        <v>91.799070000000043</v>
      </c>
      <c r="CC7" s="103">
        <f>$BX$7*'Прогноз цен'!$H$34</f>
        <v>91.799070000000043</v>
      </c>
      <c r="CD7" s="103">
        <f>$BX$7*'Прогноз цен'!$H$34</f>
        <v>91.799070000000043</v>
      </c>
      <c r="CE7" s="103">
        <f>$BX$7*'Прогноз цен'!$H$34</f>
        <v>91.799070000000043</v>
      </c>
      <c r="CF7" s="103">
        <f>$BX$7*'Прогноз цен'!$H$34</f>
        <v>91.799070000000043</v>
      </c>
      <c r="CG7" s="103">
        <f>$BX$7*'Прогноз цен'!$H$34</f>
        <v>91.799070000000043</v>
      </c>
      <c r="CH7" s="103">
        <f>$BX$7*'Прогноз цен'!$H$34</f>
        <v>91.799070000000043</v>
      </c>
      <c r="CI7" s="103">
        <f>$BX$7*'Прогноз цен'!$H$34</f>
        <v>91.799070000000043</v>
      </c>
      <c r="CJ7" s="103">
        <f>$BX$7*'Прогноз цен'!$H$34</f>
        <v>91.799070000000043</v>
      </c>
      <c r="CK7" s="103">
        <f>$CJ$7*'Прогноз цен'!$I$34</f>
        <v>100.97897700000006</v>
      </c>
      <c r="CL7" s="103">
        <f>$CJ$7*'Прогноз цен'!$I$34</f>
        <v>100.97897700000006</v>
      </c>
      <c r="CM7" s="103">
        <f>$CJ$7*'Прогноз цен'!$I$34</f>
        <v>100.97897700000006</v>
      </c>
      <c r="CN7" s="103">
        <f>$CJ$7*'Прогноз цен'!$I$34</f>
        <v>100.97897700000006</v>
      </c>
      <c r="CO7" s="103">
        <f>$CJ$7*'Прогноз цен'!$I$34</f>
        <v>100.97897700000006</v>
      </c>
      <c r="CP7" s="103">
        <f>$CJ$7*'Прогноз цен'!$I$34</f>
        <v>100.97897700000006</v>
      </c>
      <c r="CQ7" s="103">
        <f>$CJ$7*'Прогноз цен'!$I$34</f>
        <v>100.97897700000006</v>
      </c>
      <c r="CR7" s="103">
        <f>$CJ$7*'Прогноз цен'!$I$34</f>
        <v>100.97897700000006</v>
      </c>
      <c r="CS7" s="103">
        <f>$CJ$7*'Прогноз цен'!$I$34</f>
        <v>100.97897700000006</v>
      </c>
      <c r="CT7" s="103">
        <f>$CJ$7*'Прогноз цен'!$I$34</f>
        <v>100.97897700000006</v>
      </c>
      <c r="CU7" s="103">
        <f>$CJ$7*'Прогноз цен'!$I$34</f>
        <v>100.97897700000006</v>
      </c>
      <c r="CV7" s="103">
        <f>$CJ$7*'Прогноз цен'!$I$34</f>
        <v>100.97897700000006</v>
      </c>
      <c r="CW7" s="103">
        <f>$CV$7*'Прогноз цен'!$J$34</f>
        <v>111.07687470000008</v>
      </c>
      <c r="CX7" s="103">
        <f>$CV$7*'Прогноз цен'!$J$34</f>
        <v>111.07687470000008</v>
      </c>
      <c r="CY7" s="103">
        <f>$CV$7*'Прогноз цен'!$J$34</f>
        <v>111.07687470000008</v>
      </c>
      <c r="CZ7" s="103">
        <f>$CV$7*'Прогноз цен'!$J$34</f>
        <v>111.07687470000008</v>
      </c>
      <c r="DA7" s="103">
        <f>$CV$7*'Прогноз цен'!$J$34</f>
        <v>111.07687470000008</v>
      </c>
      <c r="DB7" s="103">
        <f>$CV$7*'Прогноз цен'!$J$34</f>
        <v>111.07687470000008</v>
      </c>
      <c r="DC7" s="103">
        <f>$CV$7*'Прогноз цен'!$J$34</f>
        <v>111.07687470000008</v>
      </c>
      <c r="DD7" s="103">
        <f>$CV$7*'Прогноз цен'!$J$34</f>
        <v>111.07687470000008</v>
      </c>
      <c r="DE7" s="103">
        <f>$CV$7*'Прогноз цен'!$J$34</f>
        <v>111.07687470000008</v>
      </c>
      <c r="DF7" s="103">
        <f>$CV$7*'Прогноз цен'!$J$34</f>
        <v>111.07687470000008</v>
      </c>
      <c r="DG7" s="103">
        <f>$CV$7*'Прогноз цен'!$J$34</f>
        <v>111.07687470000008</v>
      </c>
      <c r="DH7" s="103">
        <f>$CV$7*'Прогноз цен'!$J$34</f>
        <v>111.07687470000008</v>
      </c>
      <c r="DI7" s="103">
        <f>$DH$7*'Прогноз цен'!$K$34</f>
        <v>122.18456217000009</v>
      </c>
      <c r="DJ7" s="103">
        <f>$DH$7*'Прогноз цен'!$K$34</f>
        <v>122.18456217000009</v>
      </c>
      <c r="DK7" s="103">
        <f>$DH$7*'Прогноз цен'!$K$34</f>
        <v>122.18456217000009</v>
      </c>
      <c r="DL7" s="103">
        <f>$DH$7*'Прогноз цен'!$K$34</f>
        <v>122.18456217000009</v>
      </c>
      <c r="DM7" s="103">
        <f>$DH$7*'Прогноз цен'!$K$34</f>
        <v>122.18456217000009</v>
      </c>
      <c r="DN7" s="103">
        <f>$DH$7*'Прогноз цен'!$K$34</f>
        <v>122.18456217000009</v>
      </c>
      <c r="DO7" s="103">
        <f>$DH$7*'Прогноз цен'!$K$34</f>
        <v>122.18456217000009</v>
      </c>
      <c r="DP7" s="103">
        <f>$DH$7*'Прогноз цен'!$K$34</f>
        <v>122.18456217000009</v>
      </c>
      <c r="DQ7" s="103">
        <f>$DH$7*'Прогноз цен'!$K$34</f>
        <v>122.18456217000009</v>
      </c>
      <c r="DR7" s="103">
        <f>$DH$7*'Прогноз цен'!$K$34</f>
        <v>122.18456217000009</v>
      </c>
      <c r="DS7" s="103">
        <f>$DH$7*'Прогноз цен'!$K$34</f>
        <v>122.18456217000009</v>
      </c>
      <c r="DT7" s="103">
        <f>$DH$7*'Прогноз цен'!$K$34</f>
        <v>122.18456217000009</v>
      </c>
    </row>
    <row r="8" spans="1:136" s="64" customFormat="1" ht="12.75" customHeight="1">
      <c r="A8" s="101" t="s">
        <v>118</v>
      </c>
      <c r="B8" s="102" t="s">
        <v>276</v>
      </c>
      <c r="C8" s="222">
        <v>2</v>
      </c>
      <c r="D8" s="223">
        <v>150</v>
      </c>
      <c r="E8" s="103">
        <v>0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f>$D$8*Исх.данные!$B$91*'Прогноз цен'!$B$34</f>
        <v>300</v>
      </c>
      <c r="P8" s="103">
        <f>$D$8*Исх.данные!$B$91*'Прогноз цен'!$B$34</f>
        <v>300</v>
      </c>
      <c r="Q8" s="103">
        <f>$D$8*Исх.данные!$B$91*'Прогноз цен'!$C$34</f>
        <v>300</v>
      </c>
      <c r="R8" s="103">
        <f>$D$8*Исх.данные!$B$91*'Прогноз цен'!$C$34</f>
        <v>300</v>
      </c>
      <c r="S8" s="103">
        <f>$D$8*Исх.данные!$B$91*'Прогноз цен'!$C$34</f>
        <v>300</v>
      </c>
      <c r="T8" s="103">
        <f>$D$8*Исх.данные!$B$91*'Прогноз цен'!$C$34</f>
        <v>300</v>
      </c>
      <c r="U8" s="103">
        <f>$D$8*Исх.данные!$B$91*'Прогноз цен'!$C$34</f>
        <v>300</v>
      </c>
      <c r="V8" s="103">
        <f>$D$8*Исх.данные!$B$91*'Прогноз цен'!$C$34</f>
        <v>300</v>
      </c>
      <c r="W8" s="103">
        <f>$D$8*Исх.данные!$B$91*'Прогноз цен'!$C$34</f>
        <v>300</v>
      </c>
      <c r="X8" s="103">
        <f>$D$8*Исх.данные!$B$91*'Прогноз цен'!$C$34</f>
        <v>300</v>
      </c>
      <c r="Y8" s="103">
        <f>$D$8*Исх.данные!$B$91*'Прогноз цен'!$C$34</f>
        <v>300</v>
      </c>
      <c r="Z8" s="103">
        <f>$D$8*Исх.данные!$B$91*'Прогноз цен'!$C$34</f>
        <v>300</v>
      </c>
      <c r="AA8" s="103">
        <f>$D$8*Исх.данные!$B$91*'Прогноз цен'!$C$34</f>
        <v>300</v>
      </c>
      <c r="AB8" s="103">
        <f>D8*Исх.данные!C91*'Прогноз цен'!$C$34</f>
        <v>300</v>
      </c>
      <c r="AC8" s="103">
        <f>$D$8*Исх.данные!$C$91*'Прогноз цен'!$D$34</f>
        <v>330</v>
      </c>
      <c r="AD8" s="103">
        <f>$D$8*Исх.данные!$C$91*'Прогноз цен'!$D$34</f>
        <v>330</v>
      </c>
      <c r="AE8" s="103">
        <f>$D$8*Исх.данные!$C$91*'Прогноз цен'!$D$34</f>
        <v>330</v>
      </c>
      <c r="AF8" s="103">
        <f>$D$8*Исх.данные!$C$91*'Прогноз цен'!$D$34</f>
        <v>330</v>
      </c>
      <c r="AG8" s="103">
        <f>$D$8*Исх.данные!$C$91*'Прогноз цен'!$D$34</f>
        <v>330</v>
      </c>
      <c r="AH8" s="103">
        <f>$D$8*Исх.данные!$C$91*'Прогноз цен'!$D$34</f>
        <v>330</v>
      </c>
      <c r="AI8" s="103">
        <f>$D$8*Исх.данные!$C$91*'Прогноз цен'!$D$34</f>
        <v>330</v>
      </c>
      <c r="AJ8" s="103">
        <f>$D$8*Исх.данные!$C$91*'Прогноз цен'!$D$34</f>
        <v>330</v>
      </c>
      <c r="AK8" s="103">
        <f>$D$8*Исх.данные!$C$91*'Прогноз цен'!$D$34</f>
        <v>330</v>
      </c>
      <c r="AL8" s="103">
        <f>$D$8*Исх.данные!$C$91*'Прогноз цен'!$D$34</f>
        <v>330</v>
      </c>
      <c r="AM8" s="103">
        <f>$D$8*Исх.данные!$D$91*'Прогноз цен'!$D$34</f>
        <v>330</v>
      </c>
      <c r="AN8" s="103">
        <f>$D$8*Исх.данные!$D$91*'Прогноз цен'!$D$34</f>
        <v>330</v>
      </c>
      <c r="AO8" s="103">
        <f>$AN$8*'Прогноз цен'!$E$34</f>
        <v>363.00000000000006</v>
      </c>
      <c r="AP8" s="103">
        <f>$AN$8*'Прогноз цен'!$E$34</f>
        <v>363.00000000000006</v>
      </c>
      <c r="AQ8" s="103">
        <f>$AN$8*'Прогноз цен'!$E$34</f>
        <v>363.00000000000006</v>
      </c>
      <c r="AR8" s="103">
        <f>$AN$8*'Прогноз цен'!$E$34</f>
        <v>363.00000000000006</v>
      </c>
      <c r="AS8" s="103">
        <f>$AN$8*'Прогноз цен'!$E$34</f>
        <v>363.00000000000006</v>
      </c>
      <c r="AT8" s="103">
        <f>$AN$8*'Прогноз цен'!$E$34</f>
        <v>363.00000000000006</v>
      </c>
      <c r="AU8" s="103">
        <f>$AN$8*'Прогноз цен'!$E$34</f>
        <v>363.00000000000006</v>
      </c>
      <c r="AV8" s="103">
        <f>$AN$8*'Прогноз цен'!$E$34</f>
        <v>363.00000000000006</v>
      </c>
      <c r="AW8" s="103">
        <f>$AN$8*'Прогноз цен'!$E$34</f>
        <v>363.00000000000006</v>
      </c>
      <c r="AX8" s="103">
        <f>$AN$8*'Прогноз цен'!$E$34</f>
        <v>363.00000000000006</v>
      </c>
      <c r="AY8" s="103">
        <f>$AN$8*'Прогноз цен'!$E$34</f>
        <v>363.00000000000006</v>
      </c>
      <c r="AZ8" s="103">
        <f>$AN$8*'Прогноз цен'!$E$34</f>
        <v>363.00000000000006</v>
      </c>
      <c r="BA8" s="103">
        <f>$AZ$8*'Прогноз цен'!$F$34</f>
        <v>399.30000000000007</v>
      </c>
      <c r="BB8" s="103">
        <f>$AZ$8*'Прогноз цен'!$F$34</f>
        <v>399.30000000000007</v>
      </c>
      <c r="BC8" s="103">
        <f>$AZ$8*'Прогноз цен'!$F$34</f>
        <v>399.30000000000007</v>
      </c>
      <c r="BD8" s="103">
        <f>$AZ$8*'Прогноз цен'!$F$34</f>
        <v>399.30000000000007</v>
      </c>
      <c r="BE8" s="103">
        <f>$AZ$8*'Прогноз цен'!$F$34</f>
        <v>399.30000000000007</v>
      </c>
      <c r="BF8" s="103">
        <f>$AZ$8*'Прогноз цен'!$F$34</f>
        <v>399.30000000000007</v>
      </c>
      <c r="BG8" s="103">
        <f>$AZ$8*'Прогноз цен'!$F$34</f>
        <v>399.30000000000007</v>
      </c>
      <c r="BH8" s="103">
        <f>$AZ$8*'Прогноз цен'!$F$34</f>
        <v>399.30000000000007</v>
      </c>
      <c r="BI8" s="103">
        <f>$AZ$8*'Прогноз цен'!$F$34</f>
        <v>399.30000000000007</v>
      </c>
      <c r="BJ8" s="103">
        <f>$AZ$8*'Прогноз цен'!$F$34</f>
        <v>399.30000000000007</v>
      </c>
      <c r="BK8" s="103">
        <f>$AZ$8*'Прогноз цен'!$F$34</f>
        <v>399.30000000000007</v>
      </c>
      <c r="BL8" s="103">
        <f>$AZ$8*'Прогноз цен'!$F$34</f>
        <v>399.30000000000007</v>
      </c>
      <c r="BM8" s="103">
        <f>$BL$8*'Прогноз цен'!$G$34</f>
        <v>439.23000000000013</v>
      </c>
      <c r="BN8" s="103">
        <f>$BL$8*'Прогноз цен'!$G$34</f>
        <v>439.23000000000013</v>
      </c>
      <c r="BO8" s="103">
        <f>$BL$8*'Прогноз цен'!$G$34</f>
        <v>439.23000000000013</v>
      </c>
      <c r="BP8" s="103">
        <f>$BL$8*'Прогноз цен'!$G$34</f>
        <v>439.23000000000013</v>
      </c>
      <c r="BQ8" s="103">
        <f>$BL$8*'Прогноз цен'!$G$34</f>
        <v>439.23000000000013</v>
      </c>
      <c r="BR8" s="103">
        <f>$BL$8*'Прогноз цен'!$G$34</f>
        <v>439.23000000000013</v>
      </c>
      <c r="BS8" s="103">
        <f>$BL$8*'Прогноз цен'!$G$34</f>
        <v>439.23000000000013</v>
      </c>
      <c r="BT8" s="103">
        <f>$BL$8*'Прогноз цен'!$G$34</f>
        <v>439.23000000000013</v>
      </c>
      <c r="BU8" s="103">
        <f>$BL$8*'Прогноз цен'!$G$34</f>
        <v>439.23000000000013</v>
      </c>
      <c r="BV8" s="103">
        <f>$BL$8*'Прогноз цен'!$G$34</f>
        <v>439.23000000000013</v>
      </c>
      <c r="BW8" s="103">
        <f>$BL$8*'Прогноз цен'!$G$34</f>
        <v>439.23000000000013</v>
      </c>
      <c r="BX8" s="103">
        <f>$BL$8*'Прогноз цен'!$G$34</f>
        <v>439.23000000000013</v>
      </c>
      <c r="BY8" s="103">
        <f>$BX$8*'Прогноз цен'!$H$34</f>
        <v>483.15300000000019</v>
      </c>
      <c r="BZ8" s="103">
        <f>$BX$8*'Прогноз цен'!$H$34</f>
        <v>483.15300000000019</v>
      </c>
      <c r="CA8" s="103">
        <f>$BX$8*'Прогноз цен'!$H$34</f>
        <v>483.15300000000019</v>
      </c>
      <c r="CB8" s="103">
        <f>$BX$8*'Прогноз цен'!$H$34</f>
        <v>483.15300000000019</v>
      </c>
      <c r="CC8" s="103">
        <f>$BX$8*'Прогноз цен'!$H$34</f>
        <v>483.15300000000019</v>
      </c>
      <c r="CD8" s="103">
        <f>$BX$8*'Прогноз цен'!$H$34</f>
        <v>483.15300000000019</v>
      </c>
      <c r="CE8" s="103">
        <f>$BX$8*'Прогноз цен'!$H$34</f>
        <v>483.15300000000019</v>
      </c>
      <c r="CF8" s="103">
        <f>$BX$8*'Прогноз цен'!$H$34</f>
        <v>483.15300000000019</v>
      </c>
      <c r="CG8" s="103">
        <f>$BX$8*'Прогноз цен'!$H$34</f>
        <v>483.15300000000019</v>
      </c>
      <c r="CH8" s="103">
        <f>$BX$8*'Прогноз цен'!$H$34</f>
        <v>483.15300000000019</v>
      </c>
      <c r="CI8" s="103">
        <f>$BX$8*'Прогноз цен'!$H$34</f>
        <v>483.15300000000019</v>
      </c>
      <c r="CJ8" s="103">
        <f>$BX$8*'Прогноз цен'!$H$34</f>
        <v>483.15300000000019</v>
      </c>
      <c r="CK8" s="103">
        <f>$CJ$8*'Прогноз цен'!$I$34</f>
        <v>531.46830000000023</v>
      </c>
      <c r="CL8" s="103">
        <f>$CJ$8*'Прогноз цен'!$I$34</f>
        <v>531.46830000000023</v>
      </c>
      <c r="CM8" s="103">
        <f>$CJ$8*'Прогноз цен'!$I$34</f>
        <v>531.46830000000023</v>
      </c>
      <c r="CN8" s="103">
        <f>$CJ$8*'Прогноз цен'!$I$34</f>
        <v>531.46830000000023</v>
      </c>
      <c r="CO8" s="103">
        <f>$CJ$8*'Прогноз цен'!$I$34</f>
        <v>531.46830000000023</v>
      </c>
      <c r="CP8" s="103">
        <f>$CJ$8*'Прогноз цен'!$I$34</f>
        <v>531.46830000000023</v>
      </c>
      <c r="CQ8" s="103">
        <f>$CJ$8*'Прогноз цен'!$I$34</f>
        <v>531.46830000000023</v>
      </c>
      <c r="CR8" s="103">
        <f>$CJ$8*'Прогноз цен'!$I$34</f>
        <v>531.46830000000023</v>
      </c>
      <c r="CS8" s="103">
        <f>$CJ$8*'Прогноз цен'!$I$34</f>
        <v>531.46830000000023</v>
      </c>
      <c r="CT8" s="103">
        <f>$CJ$8*'Прогноз цен'!$I$34</f>
        <v>531.46830000000023</v>
      </c>
      <c r="CU8" s="103">
        <f>$CJ$8*'Прогноз цен'!$I$34</f>
        <v>531.46830000000023</v>
      </c>
      <c r="CV8" s="103">
        <f>$CJ$8*'Прогноз цен'!$I$34</f>
        <v>531.46830000000023</v>
      </c>
      <c r="CW8" s="103">
        <f>$CV$8*'Прогноз цен'!$J$34</f>
        <v>584.61513000000025</v>
      </c>
      <c r="CX8" s="103">
        <f>$CV$8*'Прогноз цен'!$J$34</f>
        <v>584.61513000000025</v>
      </c>
      <c r="CY8" s="103">
        <f>$CV$8*'Прогноз цен'!$J$34</f>
        <v>584.61513000000025</v>
      </c>
      <c r="CZ8" s="103">
        <f>$CV$8*'Прогноз цен'!$J$34</f>
        <v>584.61513000000025</v>
      </c>
      <c r="DA8" s="103">
        <f>$CV$8*'Прогноз цен'!$J$34</f>
        <v>584.61513000000025</v>
      </c>
      <c r="DB8" s="103">
        <f>$CV$8*'Прогноз цен'!$J$34</f>
        <v>584.61513000000025</v>
      </c>
      <c r="DC8" s="103">
        <f>$CV$8*'Прогноз цен'!$J$34</f>
        <v>584.61513000000025</v>
      </c>
      <c r="DD8" s="103">
        <f>$CV$8*'Прогноз цен'!$J$34</f>
        <v>584.61513000000025</v>
      </c>
      <c r="DE8" s="103">
        <f>$CV$8*'Прогноз цен'!$J$34</f>
        <v>584.61513000000025</v>
      </c>
      <c r="DF8" s="103">
        <f>$CV$8*'Прогноз цен'!$J$34</f>
        <v>584.61513000000025</v>
      </c>
      <c r="DG8" s="103">
        <f>$CV$8*'Прогноз цен'!$J$34</f>
        <v>584.61513000000025</v>
      </c>
      <c r="DH8" s="103">
        <f>$CV$8*'Прогноз цен'!$J$34</f>
        <v>584.61513000000025</v>
      </c>
      <c r="DI8" s="103">
        <f>$DH$8*'Прогноз цен'!$K$34</f>
        <v>643.07664300000033</v>
      </c>
      <c r="DJ8" s="103">
        <f>$DH$8*'Прогноз цен'!$K$34</f>
        <v>643.07664300000033</v>
      </c>
      <c r="DK8" s="103">
        <f>$DH$8*'Прогноз цен'!$K$34</f>
        <v>643.07664300000033</v>
      </c>
      <c r="DL8" s="103">
        <f>$DH$8*'Прогноз цен'!$K$34</f>
        <v>643.07664300000033</v>
      </c>
      <c r="DM8" s="103">
        <f>$DH$8*'Прогноз цен'!$K$34</f>
        <v>643.07664300000033</v>
      </c>
      <c r="DN8" s="103">
        <f>$DH$8*'Прогноз цен'!$K$34</f>
        <v>643.07664300000033</v>
      </c>
      <c r="DO8" s="103">
        <f>$DH$8*'Прогноз цен'!$K$34</f>
        <v>643.07664300000033</v>
      </c>
      <c r="DP8" s="103">
        <f>$DH$8*'Прогноз цен'!$K$34</f>
        <v>643.07664300000033</v>
      </c>
      <c r="DQ8" s="103">
        <f>$DH$8*'Прогноз цен'!$K$34</f>
        <v>643.07664300000033</v>
      </c>
      <c r="DR8" s="103">
        <f>$DH$8*'Прогноз цен'!$K$34</f>
        <v>643.07664300000033</v>
      </c>
      <c r="DS8" s="103">
        <f>$DH$8*'Прогноз цен'!$K$34</f>
        <v>643.07664300000033</v>
      </c>
      <c r="DT8" s="103">
        <f>$DH$8*'Прогноз цен'!$K$34</f>
        <v>643.07664300000033</v>
      </c>
    </row>
    <row r="9" spans="1:136" s="64" customFormat="1" ht="12.75" customHeight="1">
      <c r="A9" s="101" t="s">
        <v>139</v>
      </c>
      <c r="B9" s="102" t="s">
        <v>277</v>
      </c>
      <c r="C9" s="222">
        <v>4</v>
      </c>
      <c r="D9" s="223">
        <v>75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f>$D$9*Исх.данные!$B$92*'Прогноз цен'!$B$34</f>
        <v>300</v>
      </c>
      <c r="P9" s="103">
        <f>$D$9*Исх.данные!$B$92*'Прогноз цен'!$B$34</f>
        <v>300</v>
      </c>
      <c r="Q9" s="103">
        <f>$D$9*Исх.данные!$B$92*'Прогноз цен'!$C$34</f>
        <v>300</v>
      </c>
      <c r="R9" s="103">
        <f>$D$9*Исх.данные!$B$92*'Прогноз цен'!$C$34</f>
        <v>300</v>
      </c>
      <c r="S9" s="103">
        <f>$D$9*Исх.данные!$B$92*'Прогноз цен'!$C$34</f>
        <v>300</v>
      </c>
      <c r="T9" s="103">
        <f>$D$9*Исх.данные!$B$92*'Прогноз цен'!$C$34</f>
        <v>300</v>
      </c>
      <c r="U9" s="103">
        <f>$D$9*Исх.данные!$B$92*'Прогноз цен'!$C$34</f>
        <v>300</v>
      </c>
      <c r="V9" s="103">
        <f>$D$9*Исх.данные!$B$92*'Прогноз цен'!$C$34</f>
        <v>300</v>
      </c>
      <c r="W9" s="103">
        <f>$D$9*Исх.данные!$B$92*'Прогноз цен'!$C$34</f>
        <v>300</v>
      </c>
      <c r="X9" s="103">
        <f>$D$9*Исх.данные!$B$92*'Прогноз цен'!$C$34</f>
        <v>300</v>
      </c>
      <c r="Y9" s="103">
        <f>$D$9*Исх.данные!$B$92*'Прогноз цен'!$C$34</f>
        <v>300</v>
      </c>
      <c r="Z9" s="103">
        <f>$D$9*Исх.данные!$B$92*'Прогноз цен'!$C$34</f>
        <v>300</v>
      </c>
      <c r="AA9" s="103">
        <f>$D$9*Исх.данные!$B$92*'Прогноз цен'!$C$34</f>
        <v>300</v>
      </c>
      <c r="AB9" s="103">
        <f>D9*Исх.данные!C92*'Прогноз цен'!$C$34</f>
        <v>300</v>
      </c>
      <c r="AC9" s="103">
        <f>$D$9*Исх.данные!$C$92*'Прогноз цен'!$D$34</f>
        <v>330</v>
      </c>
      <c r="AD9" s="103">
        <f>$D$9*Исх.данные!$C$92*'Прогноз цен'!$D$34</f>
        <v>330</v>
      </c>
      <c r="AE9" s="103">
        <f>$D$9*Исх.данные!$C$92*'Прогноз цен'!$D$34</f>
        <v>330</v>
      </c>
      <c r="AF9" s="103">
        <f>$D$9*Исх.данные!$C$92*'Прогноз цен'!$D$34</f>
        <v>330</v>
      </c>
      <c r="AG9" s="103">
        <f>$D$9*Исх.данные!$C$92*'Прогноз цен'!$D$34</f>
        <v>330</v>
      </c>
      <c r="AH9" s="103">
        <f>$D$9*Исх.данные!$C$92*'Прогноз цен'!$D$34</f>
        <v>330</v>
      </c>
      <c r="AI9" s="103">
        <f>$D$9*Исх.данные!$C$92*'Прогноз цен'!$D$34</f>
        <v>330</v>
      </c>
      <c r="AJ9" s="103">
        <f>$D$9*Исх.данные!$C$92*'Прогноз цен'!$D$34</f>
        <v>330</v>
      </c>
      <c r="AK9" s="103">
        <f>$D$9*Исх.данные!$C$92*'Прогноз цен'!$D$34</f>
        <v>330</v>
      </c>
      <c r="AL9" s="103">
        <f>$D$9*Исх.данные!$C$92*'Прогноз цен'!$D$34</f>
        <v>330</v>
      </c>
      <c r="AM9" s="103">
        <f>$D$9*Исх.данные!$D$92*'Прогноз цен'!$D$34</f>
        <v>330</v>
      </c>
      <c r="AN9" s="103">
        <f>$D$9*Исх.данные!$D$92*'Прогноз цен'!$D$34</f>
        <v>330</v>
      </c>
      <c r="AO9" s="103">
        <f>$AN$9*'Прогноз цен'!$E$34</f>
        <v>363.00000000000006</v>
      </c>
      <c r="AP9" s="103">
        <f>$AN$9*'Прогноз цен'!$E$34</f>
        <v>363.00000000000006</v>
      </c>
      <c r="AQ9" s="103">
        <f>$AN$9*'Прогноз цен'!$E$34</f>
        <v>363.00000000000006</v>
      </c>
      <c r="AR9" s="103">
        <f>$AN$9*'Прогноз цен'!$E$34</f>
        <v>363.00000000000006</v>
      </c>
      <c r="AS9" s="103">
        <f>$AN$9*'Прогноз цен'!$E$34</f>
        <v>363.00000000000006</v>
      </c>
      <c r="AT9" s="103">
        <f>$AN$9*'Прогноз цен'!$E$34</f>
        <v>363.00000000000006</v>
      </c>
      <c r="AU9" s="103">
        <f>$AN$9*'Прогноз цен'!$E$34</f>
        <v>363.00000000000006</v>
      </c>
      <c r="AV9" s="103">
        <f>$AN$9*'Прогноз цен'!$E$34</f>
        <v>363.00000000000006</v>
      </c>
      <c r="AW9" s="103">
        <f>$AN$9*'Прогноз цен'!$E$34</f>
        <v>363.00000000000006</v>
      </c>
      <c r="AX9" s="103">
        <f>$AN$9*'Прогноз цен'!$E$34</f>
        <v>363.00000000000006</v>
      </c>
      <c r="AY9" s="103">
        <f>$AN$9*'Прогноз цен'!$E$34</f>
        <v>363.00000000000006</v>
      </c>
      <c r="AZ9" s="103">
        <f>$AN$9*'Прогноз цен'!$E$34</f>
        <v>363.00000000000006</v>
      </c>
      <c r="BA9" s="103">
        <f>$AZ$9*'Прогноз цен'!$F$34</f>
        <v>399.30000000000007</v>
      </c>
      <c r="BB9" s="103">
        <f>$AZ$9*'Прогноз цен'!$F$34</f>
        <v>399.30000000000007</v>
      </c>
      <c r="BC9" s="103">
        <f>$AZ$9*'Прогноз цен'!$F$34</f>
        <v>399.30000000000007</v>
      </c>
      <c r="BD9" s="103">
        <f>$AZ$9*'Прогноз цен'!$F$34</f>
        <v>399.30000000000007</v>
      </c>
      <c r="BE9" s="103">
        <f>$AZ$9*'Прогноз цен'!$F$34</f>
        <v>399.30000000000007</v>
      </c>
      <c r="BF9" s="103">
        <f>$AZ$9*'Прогноз цен'!$F$34</f>
        <v>399.30000000000007</v>
      </c>
      <c r="BG9" s="103">
        <f>$AZ$9*'Прогноз цен'!$F$34</f>
        <v>399.30000000000007</v>
      </c>
      <c r="BH9" s="103">
        <f>$AZ$9*'Прогноз цен'!$F$34</f>
        <v>399.30000000000007</v>
      </c>
      <c r="BI9" s="103">
        <f>$AZ$9*'Прогноз цен'!$F$34</f>
        <v>399.30000000000007</v>
      </c>
      <c r="BJ9" s="103">
        <f>$AZ$9*'Прогноз цен'!$F$34</f>
        <v>399.30000000000007</v>
      </c>
      <c r="BK9" s="103">
        <f>$AZ$9*'Прогноз цен'!$F$34</f>
        <v>399.30000000000007</v>
      </c>
      <c r="BL9" s="103">
        <f>$AZ$9*'Прогноз цен'!$F$34</f>
        <v>399.30000000000007</v>
      </c>
      <c r="BM9" s="103">
        <f>$BL$9*'Прогноз цен'!$G$34</f>
        <v>439.23000000000013</v>
      </c>
      <c r="BN9" s="103">
        <f>$BL$9*'Прогноз цен'!$G$34</f>
        <v>439.23000000000013</v>
      </c>
      <c r="BO9" s="103">
        <f>$BL$9*'Прогноз цен'!$G$34</f>
        <v>439.23000000000013</v>
      </c>
      <c r="BP9" s="103">
        <f>$BL$9*'Прогноз цен'!$G$34</f>
        <v>439.23000000000013</v>
      </c>
      <c r="BQ9" s="103">
        <f>$BL$9*'Прогноз цен'!$G$34</f>
        <v>439.23000000000013</v>
      </c>
      <c r="BR9" s="103">
        <f>$BL$9*'Прогноз цен'!$G$34</f>
        <v>439.23000000000013</v>
      </c>
      <c r="BS9" s="103">
        <f>$BL$9*'Прогноз цен'!$G$34</f>
        <v>439.23000000000013</v>
      </c>
      <c r="BT9" s="103">
        <f>$BL$9*'Прогноз цен'!$G$34</f>
        <v>439.23000000000013</v>
      </c>
      <c r="BU9" s="103">
        <f>$BL$9*'Прогноз цен'!$G$34</f>
        <v>439.23000000000013</v>
      </c>
      <c r="BV9" s="103">
        <f>$BL$9*'Прогноз цен'!$G$34</f>
        <v>439.23000000000013</v>
      </c>
      <c r="BW9" s="103">
        <f>$BL$9*'Прогноз цен'!$G$34</f>
        <v>439.23000000000013</v>
      </c>
      <c r="BX9" s="103">
        <f>$BL$9*'Прогноз цен'!$G$34</f>
        <v>439.23000000000013</v>
      </c>
      <c r="BY9" s="103">
        <f>$BX$9*'Прогноз цен'!$H$34</f>
        <v>483.15300000000019</v>
      </c>
      <c r="BZ9" s="103">
        <f>$BX$9*'Прогноз цен'!$H$34</f>
        <v>483.15300000000019</v>
      </c>
      <c r="CA9" s="103">
        <f>$BX$9*'Прогноз цен'!$H$34</f>
        <v>483.15300000000019</v>
      </c>
      <c r="CB9" s="103">
        <f>$BX$9*'Прогноз цен'!$H$34</f>
        <v>483.15300000000019</v>
      </c>
      <c r="CC9" s="103">
        <f>$BX$9*'Прогноз цен'!$H$34</f>
        <v>483.15300000000019</v>
      </c>
      <c r="CD9" s="103">
        <f>$BX$9*'Прогноз цен'!$H$34</f>
        <v>483.15300000000019</v>
      </c>
      <c r="CE9" s="103">
        <f>$BX$9*'Прогноз цен'!$H$34</f>
        <v>483.15300000000019</v>
      </c>
      <c r="CF9" s="103">
        <f>$BX$9*'Прогноз цен'!$H$34</f>
        <v>483.15300000000019</v>
      </c>
      <c r="CG9" s="103">
        <f>$BX$9*'Прогноз цен'!$H$34</f>
        <v>483.15300000000019</v>
      </c>
      <c r="CH9" s="103">
        <f>$BX$9*'Прогноз цен'!$H$34</f>
        <v>483.15300000000019</v>
      </c>
      <c r="CI9" s="103">
        <f>$BX$9*'Прогноз цен'!$H$34</f>
        <v>483.15300000000019</v>
      </c>
      <c r="CJ9" s="103">
        <f>$BX$9*'Прогноз цен'!$H$34</f>
        <v>483.15300000000019</v>
      </c>
      <c r="CK9" s="103">
        <f>$CJ$9*'Прогноз цен'!$I$34</f>
        <v>531.46830000000023</v>
      </c>
      <c r="CL9" s="103">
        <f>$CJ$9*'Прогноз цен'!$I$34</f>
        <v>531.46830000000023</v>
      </c>
      <c r="CM9" s="103">
        <f>$CJ$9*'Прогноз цен'!$I$34</f>
        <v>531.46830000000023</v>
      </c>
      <c r="CN9" s="103">
        <f>$CJ$9*'Прогноз цен'!$I$34</f>
        <v>531.46830000000023</v>
      </c>
      <c r="CO9" s="103">
        <f>$CJ$9*'Прогноз цен'!$I$34</f>
        <v>531.46830000000023</v>
      </c>
      <c r="CP9" s="103">
        <f>$CJ$9*'Прогноз цен'!$I$34</f>
        <v>531.46830000000023</v>
      </c>
      <c r="CQ9" s="103">
        <f>$CJ$9*'Прогноз цен'!$I$34</f>
        <v>531.46830000000023</v>
      </c>
      <c r="CR9" s="103">
        <f>$CJ$9*'Прогноз цен'!$I$34</f>
        <v>531.46830000000023</v>
      </c>
      <c r="CS9" s="103">
        <f>$CJ$9*'Прогноз цен'!$I$34</f>
        <v>531.46830000000023</v>
      </c>
      <c r="CT9" s="103">
        <f>$CJ$9*'Прогноз цен'!$I$34</f>
        <v>531.46830000000023</v>
      </c>
      <c r="CU9" s="103">
        <f>$CJ$9*'Прогноз цен'!$I$34</f>
        <v>531.46830000000023</v>
      </c>
      <c r="CV9" s="103">
        <f>$CJ$9*'Прогноз цен'!$I$34</f>
        <v>531.46830000000023</v>
      </c>
      <c r="CW9" s="103">
        <f>$CV$9*'Прогноз цен'!$J$34</f>
        <v>584.61513000000025</v>
      </c>
      <c r="CX9" s="103">
        <f>$CV$9*'Прогноз цен'!$J$34</f>
        <v>584.61513000000025</v>
      </c>
      <c r="CY9" s="103">
        <f>$CV$9*'Прогноз цен'!$J$34</f>
        <v>584.61513000000025</v>
      </c>
      <c r="CZ9" s="103">
        <f>$CV$9*'Прогноз цен'!$J$34</f>
        <v>584.61513000000025</v>
      </c>
      <c r="DA9" s="103">
        <f>$CV$9*'Прогноз цен'!$J$34</f>
        <v>584.61513000000025</v>
      </c>
      <c r="DB9" s="103">
        <f>$CV$9*'Прогноз цен'!$J$34</f>
        <v>584.61513000000025</v>
      </c>
      <c r="DC9" s="103">
        <f>$CV$9*'Прогноз цен'!$J$34</f>
        <v>584.61513000000025</v>
      </c>
      <c r="DD9" s="103">
        <f>$CV$9*'Прогноз цен'!$J$34</f>
        <v>584.61513000000025</v>
      </c>
      <c r="DE9" s="103">
        <f>$CV$9*'Прогноз цен'!$J$34</f>
        <v>584.61513000000025</v>
      </c>
      <c r="DF9" s="103">
        <f>$CV$9*'Прогноз цен'!$J$34</f>
        <v>584.61513000000025</v>
      </c>
      <c r="DG9" s="103">
        <f>$CV$9*'Прогноз цен'!$J$34</f>
        <v>584.61513000000025</v>
      </c>
      <c r="DH9" s="103">
        <f>$CV$9*'Прогноз цен'!$J$34</f>
        <v>584.61513000000025</v>
      </c>
      <c r="DI9" s="103">
        <f>$DH$9*'Прогноз цен'!$K$34</f>
        <v>643.07664300000033</v>
      </c>
      <c r="DJ9" s="103">
        <f>$DH$9*'Прогноз цен'!$K$34</f>
        <v>643.07664300000033</v>
      </c>
      <c r="DK9" s="103">
        <f>$DH$9*'Прогноз цен'!$K$34</f>
        <v>643.07664300000033</v>
      </c>
      <c r="DL9" s="103">
        <f>$DH$9*'Прогноз цен'!$K$34</f>
        <v>643.07664300000033</v>
      </c>
      <c r="DM9" s="103">
        <f>$DH$9*'Прогноз цен'!$K$34</f>
        <v>643.07664300000033</v>
      </c>
      <c r="DN9" s="103">
        <f>$DH$9*'Прогноз цен'!$K$34</f>
        <v>643.07664300000033</v>
      </c>
      <c r="DO9" s="103">
        <f>$DH$9*'Прогноз цен'!$K$34</f>
        <v>643.07664300000033</v>
      </c>
      <c r="DP9" s="103">
        <f>$DH$9*'Прогноз цен'!$K$34</f>
        <v>643.07664300000033</v>
      </c>
      <c r="DQ9" s="103">
        <f>$DH$9*'Прогноз цен'!$K$34</f>
        <v>643.07664300000033</v>
      </c>
      <c r="DR9" s="103">
        <f>$DH$9*'Прогноз цен'!$K$34</f>
        <v>643.07664300000033</v>
      </c>
      <c r="DS9" s="103">
        <f>$DH$9*'Прогноз цен'!$K$34</f>
        <v>643.07664300000033</v>
      </c>
      <c r="DT9" s="103">
        <f>$DH$9*'Прогноз цен'!$K$34</f>
        <v>643.07664300000033</v>
      </c>
    </row>
    <row r="10" spans="1:136" s="64" customFormat="1" ht="12.75" customHeight="1">
      <c r="A10" s="101" t="s">
        <v>140</v>
      </c>
      <c r="B10" s="102" t="s">
        <v>278</v>
      </c>
      <c r="C10" s="222">
        <v>1</v>
      </c>
      <c r="D10" s="223">
        <v>75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f>$D$10*Исх.данные!$B$93*'Прогноз цен'!$B$34</f>
        <v>75</v>
      </c>
      <c r="P10" s="103">
        <f>$D$10*Исх.данные!$B$93*'Прогноз цен'!$B$34</f>
        <v>75</v>
      </c>
      <c r="Q10" s="103">
        <f>$D$10*Исх.данные!$B$93*'Прогноз цен'!$C$34</f>
        <v>75</v>
      </c>
      <c r="R10" s="103">
        <f>$D$10*Исх.данные!$B$93*'Прогноз цен'!$C$34</f>
        <v>75</v>
      </c>
      <c r="S10" s="103">
        <f>$D$10*Исх.данные!$B$93*'Прогноз цен'!$C$34</f>
        <v>75</v>
      </c>
      <c r="T10" s="103">
        <f>$D$10*Исх.данные!$B$93*'Прогноз цен'!$C$34</f>
        <v>75</v>
      </c>
      <c r="U10" s="103">
        <f>$D$10*Исх.данные!$B$93*'Прогноз цен'!$C$34</f>
        <v>75</v>
      </c>
      <c r="V10" s="103">
        <f>$D$10*Исх.данные!$B$93*'Прогноз цен'!$C$34</f>
        <v>75</v>
      </c>
      <c r="W10" s="103">
        <f>$D$10*Исх.данные!$B$93*'Прогноз цен'!$C$34</f>
        <v>75</v>
      </c>
      <c r="X10" s="103">
        <f>$D$10*Исх.данные!$B$93*'Прогноз цен'!$C$34</f>
        <v>75</v>
      </c>
      <c r="Y10" s="103">
        <f>$D$10*Исх.данные!$B$93*'Прогноз цен'!$C$34</f>
        <v>75</v>
      </c>
      <c r="Z10" s="103">
        <f>$D$10*Исх.данные!$B$93*'Прогноз цен'!$C$34</f>
        <v>75</v>
      </c>
      <c r="AA10" s="103">
        <f>$D$10*Исх.данные!$B$93*'Прогноз цен'!$C$34</f>
        <v>75</v>
      </c>
      <c r="AB10" s="103">
        <f>D10*Исх.данные!C93*'Прогноз цен'!$C$34</f>
        <v>75</v>
      </c>
      <c r="AC10" s="103">
        <f>$D$10*Исх.данные!$C$93*'Прогноз цен'!$D$34</f>
        <v>82.5</v>
      </c>
      <c r="AD10" s="103">
        <f>$D$10*Исх.данные!$C$93*'Прогноз цен'!$D$34</f>
        <v>82.5</v>
      </c>
      <c r="AE10" s="103">
        <f>$D$10*Исх.данные!$C$93*'Прогноз цен'!$D$34</f>
        <v>82.5</v>
      </c>
      <c r="AF10" s="103">
        <f>$D$10*Исх.данные!$C$93*'Прогноз цен'!$D$34</f>
        <v>82.5</v>
      </c>
      <c r="AG10" s="103">
        <f>$D$10*Исх.данные!$C$93*'Прогноз цен'!$D$34</f>
        <v>82.5</v>
      </c>
      <c r="AH10" s="103">
        <f>$D$10*Исх.данные!$C$93*'Прогноз цен'!$D$34</f>
        <v>82.5</v>
      </c>
      <c r="AI10" s="103">
        <f>$D$10*Исх.данные!$C$93*'Прогноз цен'!$D$34</f>
        <v>82.5</v>
      </c>
      <c r="AJ10" s="103">
        <f>$D$10*Исх.данные!$C$93*'Прогноз цен'!$D$34</f>
        <v>82.5</v>
      </c>
      <c r="AK10" s="103">
        <f>$D$10*Исх.данные!$C$93*'Прогноз цен'!$D$34</f>
        <v>82.5</v>
      </c>
      <c r="AL10" s="103">
        <f>$D$10*Исх.данные!$C$93*'Прогноз цен'!$D$34</f>
        <v>82.5</v>
      </c>
      <c r="AM10" s="103">
        <f>$D$10*Исх.данные!$D$93*'Прогноз цен'!$D$34</f>
        <v>82.5</v>
      </c>
      <c r="AN10" s="103">
        <f>$D$10*Исх.данные!$D$93*'Прогноз цен'!$D$34</f>
        <v>82.5</v>
      </c>
      <c r="AO10" s="103">
        <f>$AN$10*'Прогноз цен'!$E$34</f>
        <v>90.750000000000014</v>
      </c>
      <c r="AP10" s="103">
        <f>$AN$10*'Прогноз цен'!$E$34</f>
        <v>90.750000000000014</v>
      </c>
      <c r="AQ10" s="103">
        <f>$AN$10*'Прогноз цен'!$E$34</f>
        <v>90.750000000000014</v>
      </c>
      <c r="AR10" s="103">
        <f>$AN$10*'Прогноз цен'!$E$34</f>
        <v>90.750000000000014</v>
      </c>
      <c r="AS10" s="103">
        <f>$AN$10*'Прогноз цен'!$E$34</f>
        <v>90.750000000000014</v>
      </c>
      <c r="AT10" s="103">
        <f>$AN$10*'Прогноз цен'!$E$34</f>
        <v>90.750000000000014</v>
      </c>
      <c r="AU10" s="103">
        <f>$AN$10*'Прогноз цен'!$E$34</f>
        <v>90.750000000000014</v>
      </c>
      <c r="AV10" s="103">
        <f>$AN$10*'Прогноз цен'!$E$34</f>
        <v>90.750000000000014</v>
      </c>
      <c r="AW10" s="103">
        <f>$AN$10*'Прогноз цен'!$E$34</f>
        <v>90.750000000000014</v>
      </c>
      <c r="AX10" s="103">
        <f>$AN$10*'Прогноз цен'!$E$34</f>
        <v>90.750000000000014</v>
      </c>
      <c r="AY10" s="103">
        <f>$AN$10*'Прогноз цен'!$E$34</f>
        <v>90.750000000000014</v>
      </c>
      <c r="AZ10" s="103">
        <f>$AN$10*'Прогноз цен'!$E$34</f>
        <v>90.750000000000014</v>
      </c>
      <c r="BA10" s="103">
        <f>$AZ$10*'Прогноз цен'!$F$34</f>
        <v>99.825000000000017</v>
      </c>
      <c r="BB10" s="103">
        <f>$AZ$10*'Прогноз цен'!$F$34</f>
        <v>99.825000000000017</v>
      </c>
      <c r="BC10" s="103">
        <f>$AZ$10*'Прогноз цен'!$F$34</f>
        <v>99.825000000000017</v>
      </c>
      <c r="BD10" s="103">
        <f>$AZ$10*'Прогноз цен'!$F$34</f>
        <v>99.825000000000017</v>
      </c>
      <c r="BE10" s="103">
        <f>$AZ$10*'Прогноз цен'!$F$34</f>
        <v>99.825000000000017</v>
      </c>
      <c r="BF10" s="103">
        <f>$AZ$10*'Прогноз цен'!$F$34</f>
        <v>99.825000000000017</v>
      </c>
      <c r="BG10" s="103">
        <f>$AZ$10*'Прогноз цен'!$F$34</f>
        <v>99.825000000000017</v>
      </c>
      <c r="BH10" s="103">
        <f>$AZ$10*'Прогноз цен'!$F$34</f>
        <v>99.825000000000017</v>
      </c>
      <c r="BI10" s="103">
        <f>$AZ$10*'Прогноз цен'!$F$34</f>
        <v>99.825000000000017</v>
      </c>
      <c r="BJ10" s="103">
        <f>$AZ$10*'Прогноз цен'!$F$34</f>
        <v>99.825000000000017</v>
      </c>
      <c r="BK10" s="103">
        <f>$AZ$10*'Прогноз цен'!$F$34</f>
        <v>99.825000000000017</v>
      </c>
      <c r="BL10" s="103">
        <f>$AZ$10*'Прогноз цен'!$F$34</f>
        <v>99.825000000000017</v>
      </c>
      <c r="BM10" s="103">
        <f>$BL$10*'Прогноз цен'!$G$34</f>
        <v>109.80750000000003</v>
      </c>
      <c r="BN10" s="103">
        <f>$BL$10*'Прогноз цен'!$G$34</f>
        <v>109.80750000000003</v>
      </c>
      <c r="BO10" s="103">
        <f>$BL$10*'Прогноз цен'!$G$34</f>
        <v>109.80750000000003</v>
      </c>
      <c r="BP10" s="103">
        <f>$BL$10*'Прогноз цен'!$G$34</f>
        <v>109.80750000000003</v>
      </c>
      <c r="BQ10" s="103">
        <f>$BL$10*'Прогноз цен'!$G$34</f>
        <v>109.80750000000003</v>
      </c>
      <c r="BR10" s="103">
        <f>$BL$10*'Прогноз цен'!$G$34</f>
        <v>109.80750000000003</v>
      </c>
      <c r="BS10" s="103">
        <f>$BL$10*'Прогноз цен'!$G$34</f>
        <v>109.80750000000003</v>
      </c>
      <c r="BT10" s="103">
        <f>$BL$10*'Прогноз цен'!$G$34</f>
        <v>109.80750000000003</v>
      </c>
      <c r="BU10" s="103">
        <f>$BL$10*'Прогноз цен'!$G$34</f>
        <v>109.80750000000003</v>
      </c>
      <c r="BV10" s="103">
        <f>$BL$10*'Прогноз цен'!$G$34</f>
        <v>109.80750000000003</v>
      </c>
      <c r="BW10" s="103">
        <f>$BL$10*'Прогноз цен'!$G$34</f>
        <v>109.80750000000003</v>
      </c>
      <c r="BX10" s="103">
        <f>$BL$10*'Прогноз цен'!$G$34</f>
        <v>109.80750000000003</v>
      </c>
      <c r="BY10" s="103">
        <f>$BX$10*'Прогноз цен'!$H$34</f>
        <v>120.78825000000005</v>
      </c>
      <c r="BZ10" s="103">
        <f>$BX$10*'Прогноз цен'!$H$34</f>
        <v>120.78825000000005</v>
      </c>
      <c r="CA10" s="103">
        <f>$BX$10*'Прогноз цен'!$H$34</f>
        <v>120.78825000000005</v>
      </c>
      <c r="CB10" s="103">
        <f>$BX$10*'Прогноз цен'!$H$34</f>
        <v>120.78825000000005</v>
      </c>
      <c r="CC10" s="103">
        <f>$BX$10*'Прогноз цен'!$H$34</f>
        <v>120.78825000000005</v>
      </c>
      <c r="CD10" s="103">
        <f>$BX$10*'Прогноз цен'!$H$34</f>
        <v>120.78825000000005</v>
      </c>
      <c r="CE10" s="103">
        <f>$BX$10*'Прогноз цен'!$H$34</f>
        <v>120.78825000000005</v>
      </c>
      <c r="CF10" s="103">
        <f>$BX$10*'Прогноз цен'!$H$34</f>
        <v>120.78825000000005</v>
      </c>
      <c r="CG10" s="103">
        <f>$BX$10*'Прогноз цен'!$H$34</f>
        <v>120.78825000000005</v>
      </c>
      <c r="CH10" s="103">
        <f>$BX$10*'Прогноз цен'!$H$34</f>
        <v>120.78825000000005</v>
      </c>
      <c r="CI10" s="103">
        <f>$BX$10*'Прогноз цен'!$H$34</f>
        <v>120.78825000000005</v>
      </c>
      <c r="CJ10" s="103">
        <f>$BX$10*'Прогноз цен'!$H$34</f>
        <v>120.78825000000005</v>
      </c>
      <c r="CK10" s="103">
        <f>$CJ$10*'Прогноз цен'!$I$34</f>
        <v>132.86707500000006</v>
      </c>
      <c r="CL10" s="103">
        <f>$CJ$10*'Прогноз цен'!$I$34</f>
        <v>132.86707500000006</v>
      </c>
      <c r="CM10" s="103">
        <f>$CJ$10*'Прогноз цен'!$I$34</f>
        <v>132.86707500000006</v>
      </c>
      <c r="CN10" s="103">
        <f>$CJ$10*'Прогноз цен'!$I$34</f>
        <v>132.86707500000006</v>
      </c>
      <c r="CO10" s="103">
        <f>$CJ$10*'Прогноз цен'!$I$34</f>
        <v>132.86707500000006</v>
      </c>
      <c r="CP10" s="103">
        <f>$CJ$10*'Прогноз цен'!$I$34</f>
        <v>132.86707500000006</v>
      </c>
      <c r="CQ10" s="103">
        <f>$CJ$10*'Прогноз цен'!$I$34</f>
        <v>132.86707500000006</v>
      </c>
      <c r="CR10" s="103">
        <f>$CJ$10*'Прогноз цен'!$I$34</f>
        <v>132.86707500000006</v>
      </c>
      <c r="CS10" s="103">
        <f>$CJ$10*'Прогноз цен'!$I$34</f>
        <v>132.86707500000006</v>
      </c>
      <c r="CT10" s="103">
        <f>$CJ$10*'Прогноз цен'!$I$34</f>
        <v>132.86707500000006</v>
      </c>
      <c r="CU10" s="103">
        <f>$CJ$10*'Прогноз цен'!$I$34</f>
        <v>132.86707500000006</v>
      </c>
      <c r="CV10" s="103">
        <f>$CJ$10*'Прогноз цен'!$I$34</f>
        <v>132.86707500000006</v>
      </c>
      <c r="CW10" s="103">
        <f>$CV$10*'Прогноз цен'!$J$34</f>
        <v>146.15378250000006</v>
      </c>
      <c r="CX10" s="103">
        <f>$CV$10*'Прогноз цен'!$J$34</f>
        <v>146.15378250000006</v>
      </c>
      <c r="CY10" s="103">
        <f>$CV$10*'Прогноз цен'!$J$34</f>
        <v>146.15378250000006</v>
      </c>
      <c r="CZ10" s="103">
        <f>$CV$10*'Прогноз цен'!$J$34</f>
        <v>146.15378250000006</v>
      </c>
      <c r="DA10" s="103">
        <f>$CV$10*'Прогноз цен'!$J$34</f>
        <v>146.15378250000006</v>
      </c>
      <c r="DB10" s="103">
        <f>$CV$10*'Прогноз цен'!$J$34</f>
        <v>146.15378250000006</v>
      </c>
      <c r="DC10" s="103">
        <f>$CV$10*'Прогноз цен'!$J$34</f>
        <v>146.15378250000006</v>
      </c>
      <c r="DD10" s="103">
        <f>$CV$10*'Прогноз цен'!$J$34</f>
        <v>146.15378250000006</v>
      </c>
      <c r="DE10" s="103">
        <f>$CV$10*'Прогноз цен'!$J$34</f>
        <v>146.15378250000006</v>
      </c>
      <c r="DF10" s="103">
        <f>$CV$10*'Прогноз цен'!$J$34</f>
        <v>146.15378250000006</v>
      </c>
      <c r="DG10" s="103">
        <f>$CV$10*'Прогноз цен'!$J$34</f>
        <v>146.15378250000006</v>
      </c>
      <c r="DH10" s="103">
        <f>$CV$10*'Прогноз цен'!$J$34</f>
        <v>146.15378250000006</v>
      </c>
      <c r="DI10" s="103">
        <f>$DH$10*'Прогноз цен'!$K$34</f>
        <v>160.76916075000008</v>
      </c>
      <c r="DJ10" s="103">
        <f>$DH$10*'Прогноз цен'!$K$34</f>
        <v>160.76916075000008</v>
      </c>
      <c r="DK10" s="103">
        <f>$DH$10*'Прогноз цен'!$K$34</f>
        <v>160.76916075000008</v>
      </c>
      <c r="DL10" s="103">
        <f>$DH$10*'Прогноз цен'!$K$34</f>
        <v>160.76916075000008</v>
      </c>
      <c r="DM10" s="103">
        <f>$DH$10*'Прогноз цен'!$K$34</f>
        <v>160.76916075000008</v>
      </c>
      <c r="DN10" s="103">
        <f>$DH$10*'Прогноз цен'!$K$34</f>
        <v>160.76916075000008</v>
      </c>
      <c r="DO10" s="103">
        <f>$DH$10*'Прогноз цен'!$K$34</f>
        <v>160.76916075000008</v>
      </c>
      <c r="DP10" s="103">
        <f>$DH$10*'Прогноз цен'!$K$34</f>
        <v>160.76916075000008</v>
      </c>
      <c r="DQ10" s="103">
        <f>$DH$10*'Прогноз цен'!$K$34</f>
        <v>160.76916075000008</v>
      </c>
      <c r="DR10" s="103">
        <f>$DH$10*'Прогноз цен'!$K$34</f>
        <v>160.76916075000008</v>
      </c>
      <c r="DS10" s="103">
        <f>$DH$10*'Прогноз цен'!$K$34</f>
        <v>160.76916075000008</v>
      </c>
      <c r="DT10" s="103">
        <f>$DH$10*'Прогноз цен'!$K$34</f>
        <v>160.76916075000008</v>
      </c>
    </row>
    <row r="11" spans="1:136" s="64" customFormat="1" ht="12.75" customHeight="1">
      <c r="A11" s="101" t="s">
        <v>224</v>
      </c>
      <c r="B11" s="102" t="s">
        <v>279</v>
      </c>
      <c r="C11" s="222">
        <v>1</v>
      </c>
      <c r="D11" s="223">
        <v>75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f>$D$11*Исх.данные!$B$94*'Прогноз цен'!$B$34</f>
        <v>75</v>
      </c>
      <c r="P11" s="103">
        <f>$D$11*Исх.данные!$B$94*'Прогноз цен'!$B$34</f>
        <v>75</v>
      </c>
      <c r="Q11" s="103">
        <f>$D$11*Исх.данные!$B$94*'Прогноз цен'!$C$34</f>
        <v>75</v>
      </c>
      <c r="R11" s="103">
        <f>$D$11*Исх.данные!$B$94*'Прогноз цен'!$C$34</f>
        <v>75</v>
      </c>
      <c r="S11" s="103">
        <f>$D$11*Исх.данные!$B$94*'Прогноз цен'!$C$34</f>
        <v>75</v>
      </c>
      <c r="T11" s="103">
        <f>$D$11*Исх.данные!$B$94*'Прогноз цен'!$C$34</f>
        <v>75</v>
      </c>
      <c r="U11" s="103">
        <f>$D$11*Исх.данные!$B$94*'Прогноз цен'!$C$34</f>
        <v>75</v>
      </c>
      <c r="V11" s="103">
        <f>$D$11*Исх.данные!$B$94*'Прогноз цен'!$C$34</f>
        <v>75</v>
      </c>
      <c r="W11" s="103">
        <f>$D$11*Исх.данные!$B$94*'Прогноз цен'!$C$34</f>
        <v>75</v>
      </c>
      <c r="X11" s="103">
        <f>$D$11*Исх.данные!$B$94*'Прогноз цен'!$C$34</f>
        <v>75</v>
      </c>
      <c r="Y11" s="103">
        <f>$D$11*Исх.данные!$B$94*'Прогноз цен'!$C$34</f>
        <v>75</v>
      </c>
      <c r="Z11" s="103">
        <f>$D$11*Исх.данные!$B$94*'Прогноз цен'!$C$34</f>
        <v>75</v>
      </c>
      <c r="AA11" s="103">
        <f>$D$11*Исх.данные!$B$94*'Прогноз цен'!$C$34</f>
        <v>75</v>
      </c>
      <c r="AB11" s="103">
        <f>D11*Исх.данные!C94*'Прогноз цен'!$C$34</f>
        <v>75</v>
      </c>
      <c r="AC11" s="103">
        <f>$D$11*Исх.данные!$C$94*'Прогноз цен'!$D$34</f>
        <v>82.5</v>
      </c>
      <c r="AD11" s="103">
        <f>$D$11*Исх.данные!$C$94*'Прогноз цен'!$D$34</f>
        <v>82.5</v>
      </c>
      <c r="AE11" s="103">
        <f>$D$11*Исх.данные!$C$94*'Прогноз цен'!$D$34</f>
        <v>82.5</v>
      </c>
      <c r="AF11" s="103">
        <f>$D$11*Исх.данные!$C$94*'Прогноз цен'!$D$34</f>
        <v>82.5</v>
      </c>
      <c r="AG11" s="103">
        <f>$D$11*Исх.данные!$C$94*'Прогноз цен'!$D$34</f>
        <v>82.5</v>
      </c>
      <c r="AH11" s="103">
        <f>$D$11*Исх.данные!$C$94*'Прогноз цен'!$D$34</f>
        <v>82.5</v>
      </c>
      <c r="AI11" s="103">
        <f>$D$11*Исх.данные!$C$94*'Прогноз цен'!$D$34</f>
        <v>82.5</v>
      </c>
      <c r="AJ11" s="103">
        <f>$D$11*Исх.данные!$C$94*'Прогноз цен'!$D$34</f>
        <v>82.5</v>
      </c>
      <c r="AK11" s="103">
        <f>$D$11*Исх.данные!$C$94*'Прогноз цен'!$D$34</f>
        <v>82.5</v>
      </c>
      <c r="AL11" s="103">
        <f>$D$11*Исх.данные!$C$94*'Прогноз цен'!$D$34</f>
        <v>82.5</v>
      </c>
      <c r="AM11" s="103">
        <f>$D$11*Исх.данные!$D$94*'Прогноз цен'!$D$34</f>
        <v>82.5</v>
      </c>
      <c r="AN11" s="103">
        <f>$D$11*Исх.данные!$D$94*'Прогноз цен'!$D$34</f>
        <v>82.5</v>
      </c>
      <c r="AO11" s="103">
        <f>$AN$11*'Прогноз цен'!$E$34</f>
        <v>90.750000000000014</v>
      </c>
      <c r="AP11" s="103">
        <f>$AN$11*'Прогноз цен'!$E$34</f>
        <v>90.750000000000014</v>
      </c>
      <c r="AQ11" s="103">
        <f>$AN$11*'Прогноз цен'!$E$34</f>
        <v>90.750000000000014</v>
      </c>
      <c r="AR11" s="103">
        <f>$AN$11*'Прогноз цен'!$E$34</f>
        <v>90.750000000000014</v>
      </c>
      <c r="AS11" s="103">
        <f>$AN$11*'Прогноз цен'!$E$34</f>
        <v>90.750000000000014</v>
      </c>
      <c r="AT11" s="103">
        <f>$AN$11*'Прогноз цен'!$E$34</f>
        <v>90.750000000000014</v>
      </c>
      <c r="AU11" s="103">
        <f>$AN$11*'Прогноз цен'!$E$34</f>
        <v>90.750000000000014</v>
      </c>
      <c r="AV11" s="103">
        <f>$AN$11*'Прогноз цен'!$E$34</f>
        <v>90.750000000000014</v>
      </c>
      <c r="AW11" s="103">
        <f>$AN$11*'Прогноз цен'!$E$34</f>
        <v>90.750000000000014</v>
      </c>
      <c r="AX11" s="103">
        <f>$AN$11*'Прогноз цен'!$E$34</f>
        <v>90.750000000000014</v>
      </c>
      <c r="AY11" s="103">
        <f>$AN$11*'Прогноз цен'!$E$34</f>
        <v>90.750000000000014</v>
      </c>
      <c r="AZ11" s="103">
        <f>$AN$11*'Прогноз цен'!$E$34</f>
        <v>90.750000000000014</v>
      </c>
      <c r="BA11" s="103">
        <f>$AZ$11*'Прогноз цен'!$F$34</f>
        <v>99.825000000000017</v>
      </c>
      <c r="BB11" s="103">
        <f>$AZ$11*'Прогноз цен'!$F$34</f>
        <v>99.825000000000017</v>
      </c>
      <c r="BC11" s="103">
        <f>$AZ$11*'Прогноз цен'!$F$34</f>
        <v>99.825000000000017</v>
      </c>
      <c r="BD11" s="103">
        <f>$AZ$11*'Прогноз цен'!$F$34</f>
        <v>99.825000000000017</v>
      </c>
      <c r="BE11" s="103">
        <f>$AZ$11*'Прогноз цен'!$F$34</f>
        <v>99.825000000000017</v>
      </c>
      <c r="BF11" s="103">
        <f>$AZ$11*'Прогноз цен'!$F$34</f>
        <v>99.825000000000017</v>
      </c>
      <c r="BG11" s="103">
        <f>$AZ$11*'Прогноз цен'!$F$34</f>
        <v>99.825000000000017</v>
      </c>
      <c r="BH11" s="103">
        <f>$AZ$11*'Прогноз цен'!$F$34</f>
        <v>99.825000000000017</v>
      </c>
      <c r="BI11" s="103">
        <f>$AZ$11*'Прогноз цен'!$F$34</f>
        <v>99.825000000000017</v>
      </c>
      <c r="BJ11" s="103">
        <f>$AZ$11*'Прогноз цен'!$F$34</f>
        <v>99.825000000000017</v>
      </c>
      <c r="BK11" s="103">
        <f>$AZ$11*'Прогноз цен'!$F$34</f>
        <v>99.825000000000017</v>
      </c>
      <c r="BL11" s="103">
        <f>$AZ$11*'Прогноз цен'!$F$34</f>
        <v>99.825000000000017</v>
      </c>
      <c r="BM11" s="103">
        <f>$BL$11*'Прогноз цен'!$G$34</f>
        <v>109.80750000000003</v>
      </c>
      <c r="BN11" s="103">
        <f>$BL$11*'Прогноз цен'!$G$34</f>
        <v>109.80750000000003</v>
      </c>
      <c r="BO11" s="103">
        <f>$BL$11*'Прогноз цен'!$G$34</f>
        <v>109.80750000000003</v>
      </c>
      <c r="BP11" s="103">
        <f>$BL$11*'Прогноз цен'!$G$34</f>
        <v>109.80750000000003</v>
      </c>
      <c r="BQ11" s="103">
        <f>$BL$11*'Прогноз цен'!$G$34</f>
        <v>109.80750000000003</v>
      </c>
      <c r="BR11" s="103">
        <f>$BL$11*'Прогноз цен'!$G$34</f>
        <v>109.80750000000003</v>
      </c>
      <c r="BS11" s="103">
        <f>$BL$11*'Прогноз цен'!$G$34</f>
        <v>109.80750000000003</v>
      </c>
      <c r="BT11" s="103">
        <f>$BL$11*'Прогноз цен'!$G$34</f>
        <v>109.80750000000003</v>
      </c>
      <c r="BU11" s="103">
        <f>$BL$11*'Прогноз цен'!$G$34</f>
        <v>109.80750000000003</v>
      </c>
      <c r="BV11" s="103">
        <f>$BL$11*'Прогноз цен'!$G$34</f>
        <v>109.80750000000003</v>
      </c>
      <c r="BW11" s="103">
        <f>$BL$11*'Прогноз цен'!$G$34</f>
        <v>109.80750000000003</v>
      </c>
      <c r="BX11" s="103">
        <f>$BL$11*'Прогноз цен'!$G$34</f>
        <v>109.80750000000003</v>
      </c>
      <c r="BY11" s="103">
        <f>$BX$11*'Прогноз цен'!$H$34</f>
        <v>120.78825000000005</v>
      </c>
      <c r="BZ11" s="103">
        <f>$BX$11*'Прогноз цен'!$H$34</f>
        <v>120.78825000000005</v>
      </c>
      <c r="CA11" s="103">
        <f>$BX$11*'Прогноз цен'!$H$34</f>
        <v>120.78825000000005</v>
      </c>
      <c r="CB11" s="103">
        <f>$BX$11*'Прогноз цен'!$H$34</f>
        <v>120.78825000000005</v>
      </c>
      <c r="CC11" s="103">
        <f>$BX$11*'Прогноз цен'!$H$34</f>
        <v>120.78825000000005</v>
      </c>
      <c r="CD11" s="103">
        <f>$BX$11*'Прогноз цен'!$H$34</f>
        <v>120.78825000000005</v>
      </c>
      <c r="CE11" s="103">
        <f>$BX$11*'Прогноз цен'!$H$34</f>
        <v>120.78825000000005</v>
      </c>
      <c r="CF11" s="103">
        <f>$BX$11*'Прогноз цен'!$H$34</f>
        <v>120.78825000000005</v>
      </c>
      <c r="CG11" s="103">
        <f>$BX$11*'Прогноз цен'!$H$34</f>
        <v>120.78825000000005</v>
      </c>
      <c r="CH11" s="103">
        <f>$BX$11*'Прогноз цен'!$H$34</f>
        <v>120.78825000000005</v>
      </c>
      <c r="CI11" s="103">
        <f>$BX$11*'Прогноз цен'!$H$34</f>
        <v>120.78825000000005</v>
      </c>
      <c r="CJ11" s="103">
        <f>$BX$11*'Прогноз цен'!$H$34</f>
        <v>120.78825000000005</v>
      </c>
      <c r="CK11" s="103">
        <f>$CJ$11*'Прогноз цен'!$I$34</f>
        <v>132.86707500000006</v>
      </c>
      <c r="CL11" s="103">
        <f>$CJ$11*'Прогноз цен'!$I$34</f>
        <v>132.86707500000006</v>
      </c>
      <c r="CM11" s="103">
        <f>$CJ$11*'Прогноз цен'!$I$34</f>
        <v>132.86707500000006</v>
      </c>
      <c r="CN11" s="103">
        <f>$CJ$11*'Прогноз цен'!$I$34</f>
        <v>132.86707500000006</v>
      </c>
      <c r="CO11" s="103">
        <f>$CJ$11*'Прогноз цен'!$I$34</f>
        <v>132.86707500000006</v>
      </c>
      <c r="CP11" s="103">
        <f>$CJ$11*'Прогноз цен'!$I$34</f>
        <v>132.86707500000006</v>
      </c>
      <c r="CQ11" s="103">
        <f>$CJ$11*'Прогноз цен'!$I$34</f>
        <v>132.86707500000006</v>
      </c>
      <c r="CR11" s="103">
        <f>$CJ$11*'Прогноз цен'!$I$34</f>
        <v>132.86707500000006</v>
      </c>
      <c r="CS11" s="103">
        <f>$CJ$11*'Прогноз цен'!$I$34</f>
        <v>132.86707500000006</v>
      </c>
      <c r="CT11" s="103">
        <f>$CJ$11*'Прогноз цен'!$I$34</f>
        <v>132.86707500000006</v>
      </c>
      <c r="CU11" s="103">
        <f>$CJ$11*'Прогноз цен'!$I$34</f>
        <v>132.86707500000006</v>
      </c>
      <c r="CV11" s="103">
        <f>$CJ$11*'Прогноз цен'!$I$34</f>
        <v>132.86707500000006</v>
      </c>
      <c r="CW11" s="103">
        <f>$CV$11*'Прогноз цен'!$J$34</f>
        <v>146.15378250000006</v>
      </c>
      <c r="CX11" s="103">
        <f>$CV$11*'Прогноз цен'!$J$34</f>
        <v>146.15378250000006</v>
      </c>
      <c r="CY11" s="103">
        <f>$CV$11*'Прогноз цен'!$J$34</f>
        <v>146.15378250000006</v>
      </c>
      <c r="CZ11" s="103">
        <f>$CV$11*'Прогноз цен'!$J$34</f>
        <v>146.15378250000006</v>
      </c>
      <c r="DA11" s="103">
        <f>$CV$11*'Прогноз цен'!$J$34</f>
        <v>146.15378250000006</v>
      </c>
      <c r="DB11" s="103">
        <f>$CV$11*'Прогноз цен'!$J$34</f>
        <v>146.15378250000006</v>
      </c>
      <c r="DC11" s="103">
        <f>$CV$11*'Прогноз цен'!$J$34</f>
        <v>146.15378250000006</v>
      </c>
      <c r="DD11" s="103">
        <f>$CV$11*'Прогноз цен'!$J$34</f>
        <v>146.15378250000006</v>
      </c>
      <c r="DE11" s="103">
        <f>$CV$11*'Прогноз цен'!$J$34</f>
        <v>146.15378250000006</v>
      </c>
      <c r="DF11" s="103">
        <f>$CV$11*'Прогноз цен'!$J$34</f>
        <v>146.15378250000006</v>
      </c>
      <c r="DG11" s="103">
        <f>$CV$11*'Прогноз цен'!$J$34</f>
        <v>146.15378250000006</v>
      </c>
      <c r="DH11" s="103">
        <f>$CV$11*'Прогноз цен'!$J$34</f>
        <v>146.15378250000006</v>
      </c>
      <c r="DI11" s="103">
        <f>$DH$11*'Прогноз цен'!$K$34</f>
        <v>160.76916075000008</v>
      </c>
      <c r="DJ11" s="103">
        <f>$DH$11*'Прогноз цен'!$K$34</f>
        <v>160.76916075000008</v>
      </c>
      <c r="DK11" s="103">
        <f>$DH$11*'Прогноз цен'!$K$34</f>
        <v>160.76916075000008</v>
      </c>
      <c r="DL11" s="103">
        <f>$DH$11*'Прогноз цен'!$K$34</f>
        <v>160.76916075000008</v>
      </c>
      <c r="DM11" s="103">
        <f>$DH$11*'Прогноз цен'!$K$34</f>
        <v>160.76916075000008</v>
      </c>
      <c r="DN11" s="103">
        <f>$DH$11*'Прогноз цен'!$K$34</f>
        <v>160.76916075000008</v>
      </c>
      <c r="DO11" s="103">
        <f>$DH$11*'Прогноз цен'!$K$34</f>
        <v>160.76916075000008</v>
      </c>
      <c r="DP11" s="103">
        <f>$DH$11*'Прогноз цен'!$K$34</f>
        <v>160.76916075000008</v>
      </c>
      <c r="DQ11" s="103">
        <f>$DH$11*'Прогноз цен'!$K$34</f>
        <v>160.76916075000008</v>
      </c>
      <c r="DR11" s="103">
        <f>$DH$11*'Прогноз цен'!$K$34</f>
        <v>160.76916075000008</v>
      </c>
      <c r="DS11" s="103">
        <f>$DH$11*'Прогноз цен'!$K$34</f>
        <v>160.76916075000008</v>
      </c>
      <c r="DT11" s="103">
        <f>$DH$11*'Прогноз цен'!$K$34</f>
        <v>160.76916075000008</v>
      </c>
    </row>
    <row r="12" spans="1:136" s="64" customFormat="1" ht="12.75" customHeight="1">
      <c r="A12" s="101" t="s">
        <v>230</v>
      </c>
      <c r="B12" s="102" t="s">
        <v>222</v>
      </c>
      <c r="C12" s="222">
        <v>2</v>
      </c>
      <c r="D12" s="223">
        <v>57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f>$D$12*Исх.данные!$B$95*'Прогноз цен'!$B$34</f>
        <v>114</v>
      </c>
      <c r="P12" s="103">
        <f>$D$12*Исх.данные!$B$95*'Прогноз цен'!$B$34</f>
        <v>114</v>
      </c>
      <c r="Q12" s="103">
        <f>$D$12*Исх.данные!$B$95*'Прогноз цен'!$C$34</f>
        <v>114</v>
      </c>
      <c r="R12" s="103">
        <f>$D$12*Исх.данные!$B$95*'Прогноз цен'!$C$34</f>
        <v>114</v>
      </c>
      <c r="S12" s="103">
        <f>$D$12*Исх.данные!$B$95*'Прогноз цен'!$C$34</f>
        <v>114</v>
      </c>
      <c r="T12" s="103">
        <f>$D$12*Исх.данные!$B$95*'Прогноз цен'!$C$34</f>
        <v>114</v>
      </c>
      <c r="U12" s="103">
        <f>$D$12*Исх.данные!$B$95*'Прогноз цен'!$C$34</f>
        <v>114</v>
      </c>
      <c r="V12" s="103">
        <f>$D$12*Исх.данные!$B$95*'Прогноз цен'!$C$34</f>
        <v>114</v>
      </c>
      <c r="W12" s="103">
        <f>$D$12*Исх.данные!$B$95*'Прогноз цен'!$C$34</f>
        <v>114</v>
      </c>
      <c r="X12" s="103">
        <f>$D$12*Исх.данные!$B$95*'Прогноз цен'!$C$34</f>
        <v>114</v>
      </c>
      <c r="Y12" s="103">
        <f>$D$12*Исх.данные!$B$95*'Прогноз цен'!$C$34</f>
        <v>114</v>
      </c>
      <c r="Z12" s="103">
        <f>$D$12*Исх.данные!$B$95*'Прогноз цен'!$C$34</f>
        <v>114</v>
      </c>
      <c r="AA12" s="103">
        <f>$D$12*Исх.данные!$B$95*'Прогноз цен'!$C$34</f>
        <v>114</v>
      </c>
      <c r="AB12" s="103">
        <f>D12*Исх.данные!C95*'Прогноз цен'!$C$34</f>
        <v>114</v>
      </c>
      <c r="AC12" s="103">
        <f>$D$12*Исх.данные!$C$95*'Прогноз цен'!$D$34</f>
        <v>125.4</v>
      </c>
      <c r="AD12" s="103">
        <f>$D$12*Исх.данные!$C$95*'Прогноз цен'!$D$34</f>
        <v>125.4</v>
      </c>
      <c r="AE12" s="103">
        <f>$D$12*Исх.данные!$C$95*'Прогноз цен'!$D$34</f>
        <v>125.4</v>
      </c>
      <c r="AF12" s="103">
        <f>$D$12*Исх.данные!$C$95*'Прогноз цен'!$D$34</f>
        <v>125.4</v>
      </c>
      <c r="AG12" s="103">
        <f>$D$12*Исх.данные!$C$95*'Прогноз цен'!$D$34</f>
        <v>125.4</v>
      </c>
      <c r="AH12" s="103">
        <f>$D$12*Исх.данные!$C$95*'Прогноз цен'!$D$34</f>
        <v>125.4</v>
      </c>
      <c r="AI12" s="103">
        <f>$D$12*Исх.данные!$C$95*'Прогноз цен'!$D$34</f>
        <v>125.4</v>
      </c>
      <c r="AJ12" s="103">
        <f>$D$12*Исх.данные!$C$95*'Прогноз цен'!$D$34</f>
        <v>125.4</v>
      </c>
      <c r="AK12" s="103">
        <f>$D$12*Исх.данные!$C$95*'Прогноз цен'!$D$34</f>
        <v>125.4</v>
      </c>
      <c r="AL12" s="103">
        <f>$D$12*Исх.данные!$C$95*'Прогноз цен'!$D$34</f>
        <v>125.4</v>
      </c>
      <c r="AM12" s="103">
        <f>$D$12*Исх.данные!$D$95*'Прогноз цен'!$D$34</f>
        <v>125.4</v>
      </c>
      <c r="AN12" s="103">
        <f>$D$12*Исх.данные!$D$95*'Прогноз цен'!$D$34</f>
        <v>125.4</v>
      </c>
      <c r="AO12" s="103">
        <f>$AN$12*'Прогноз цен'!$E$34</f>
        <v>137.94000000000003</v>
      </c>
      <c r="AP12" s="103">
        <f>$AN$12*'Прогноз цен'!$E$34</f>
        <v>137.94000000000003</v>
      </c>
      <c r="AQ12" s="103">
        <f>$AN$12*'Прогноз цен'!$E$34</f>
        <v>137.94000000000003</v>
      </c>
      <c r="AR12" s="103">
        <f>$AN$12*'Прогноз цен'!$E$34</f>
        <v>137.94000000000003</v>
      </c>
      <c r="AS12" s="103">
        <f>$AN$12*'Прогноз цен'!$E$34</f>
        <v>137.94000000000003</v>
      </c>
      <c r="AT12" s="103">
        <f>$AN$12*'Прогноз цен'!$E$34</f>
        <v>137.94000000000003</v>
      </c>
      <c r="AU12" s="103">
        <f>$AN$12*'Прогноз цен'!$E$34</f>
        <v>137.94000000000003</v>
      </c>
      <c r="AV12" s="103">
        <f>$AN$12*'Прогноз цен'!$E$34</f>
        <v>137.94000000000003</v>
      </c>
      <c r="AW12" s="103">
        <f>$AN$12*'Прогноз цен'!$E$34</f>
        <v>137.94000000000003</v>
      </c>
      <c r="AX12" s="103">
        <f>$AN$12*'Прогноз цен'!$E$34</f>
        <v>137.94000000000003</v>
      </c>
      <c r="AY12" s="103">
        <f>$AN$12*'Прогноз цен'!$E$34</f>
        <v>137.94000000000003</v>
      </c>
      <c r="AZ12" s="103">
        <f>$AN$12*'Прогноз цен'!$E$34</f>
        <v>137.94000000000003</v>
      </c>
      <c r="BA12" s="103">
        <f>$AZ$12*'Прогноз цен'!$F$34</f>
        <v>151.73400000000004</v>
      </c>
      <c r="BB12" s="103">
        <f>$AZ$12*'Прогноз цен'!$F$34</f>
        <v>151.73400000000004</v>
      </c>
      <c r="BC12" s="103">
        <f>$AZ$12*'Прогноз цен'!$F$34</f>
        <v>151.73400000000004</v>
      </c>
      <c r="BD12" s="103">
        <f>$AZ$12*'Прогноз цен'!$F$34</f>
        <v>151.73400000000004</v>
      </c>
      <c r="BE12" s="103">
        <f>$AZ$12*'Прогноз цен'!$F$34</f>
        <v>151.73400000000004</v>
      </c>
      <c r="BF12" s="103">
        <f>$AZ$12*'Прогноз цен'!$F$34</f>
        <v>151.73400000000004</v>
      </c>
      <c r="BG12" s="103">
        <f>$AZ$12*'Прогноз цен'!$F$34</f>
        <v>151.73400000000004</v>
      </c>
      <c r="BH12" s="103">
        <f>$AZ$12*'Прогноз цен'!$F$34</f>
        <v>151.73400000000004</v>
      </c>
      <c r="BI12" s="103">
        <f>$AZ$12*'Прогноз цен'!$F$34</f>
        <v>151.73400000000004</v>
      </c>
      <c r="BJ12" s="103">
        <f>$AZ$12*'Прогноз цен'!$F$34</f>
        <v>151.73400000000004</v>
      </c>
      <c r="BK12" s="103">
        <f>$AZ$12*'Прогноз цен'!$F$34</f>
        <v>151.73400000000004</v>
      </c>
      <c r="BL12" s="103">
        <f>$AZ$12*'Прогноз цен'!$F$34</f>
        <v>151.73400000000004</v>
      </c>
      <c r="BM12" s="103">
        <f>$BL$12*'Прогноз цен'!$G$34</f>
        <v>166.90740000000005</v>
      </c>
      <c r="BN12" s="103">
        <f>$BL$12*'Прогноз цен'!$G$34</f>
        <v>166.90740000000005</v>
      </c>
      <c r="BO12" s="103">
        <f>$BL$12*'Прогноз цен'!$G$34</f>
        <v>166.90740000000005</v>
      </c>
      <c r="BP12" s="103">
        <f>$BL$12*'Прогноз цен'!$G$34</f>
        <v>166.90740000000005</v>
      </c>
      <c r="BQ12" s="103">
        <f>$BL$12*'Прогноз цен'!$G$34</f>
        <v>166.90740000000005</v>
      </c>
      <c r="BR12" s="103">
        <f>$BL$12*'Прогноз цен'!$G$34</f>
        <v>166.90740000000005</v>
      </c>
      <c r="BS12" s="103">
        <f>$BL$12*'Прогноз цен'!$G$34</f>
        <v>166.90740000000005</v>
      </c>
      <c r="BT12" s="103">
        <f>$BL$12*'Прогноз цен'!$G$34</f>
        <v>166.90740000000005</v>
      </c>
      <c r="BU12" s="103">
        <f>$BL$12*'Прогноз цен'!$G$34</f>
        <v>166.90740000000005</v>
      </c>
      <c r="BV12" s="103">
        <f>$BL$12*'Прогноз цен'!$G$34</f>
        <v>166.90740000000005</v>
      </c>
      <c r="BW12" s="103">
        <f>$BL$12*'Прогноз цен'!$G$34</f>
        <v>166.90740000000005</v>
      </c>
      <c r="BX12" s="103">
        <f>$BL$12*'Прогноз цен'!$G$34</f>
        <v>166.90740000000005</v>
      </c>
      <c r="BY12" s="103">
        <f>$BX$12*'Прогноз цен'!$H$34</f>
        <v>183.59814000000009</v>
      </c>
      <c r="BZ12" s="103">
        <f>$BX$12*'Прогноз цен'!$H$34</f>
        <v>183.59814000000009</v>
      </c>
      <c r="CA12" s="103">
        <f>$BX$12*'Прогноз цен'!$H$34</f>
        <v>183.59814000000009</v>
      </c>
      <c r="CB12" s="103">
        <f>$BX$12*'Прогноз цен'!$H$34</f>
        <v>183.59814000000009</v>
      </c>
      <c r="CC12" s="103">
        <f>$BX$12*'Прогноз цен'!$H$34</f>
        <v>183.59814000000009</v>
      </c>
      <c r="CD12" s="103">
        <f>$BX$12*'Прогноз цен'!$H$34</f>
        <v>183.59814000000009</v>
      </c>
      <c r="CE12" s="103">
        <f>$BX$12*'Прогноз цен'!$H$34</f>
        <v>183.59814000000009</v>
      </c>
      <c r="CF12" s="103">
        <f>$BX$12*'Прогноз цен'!$H$34</f>
        <v>183.59814000000009</v>
      </c>
      <c r="CG12" s="103">
        <f>$BX$12*'Прогноз цен'!$H$34</f>
        <v>183.59814000000009</v>
      </c>
      <c r="CH12" s="103">
        <f>$BX$12*'Прогноз цен'!$H$34</f>
        <v>183.59814000000009</v>
      </c>
      <c r="CI12" s="103">
        <f>$BX$12*'Прогноз цен'!$H$34</f>
        <v>183.59814000000009</v>
      </c>
      <c r="CJ12" s="103">
        <f>$BX$12*'Прогноз цен'!$H$34</f>
        <v>183.59814000000009</v>
      </c>
      <c r="CK12" s="103">
        <f>$CJ$12*'Прогноз цен'!$I$34</f>
        <v>201.95795400000011</v>
      </c>
      <c r="CL12" s="103">
        <f>$CJ$12*'Прогноз цен'!$I$34</f>
        <v>201.95795400000011</v>
      </c>
      <c r="CM12" s="103">
        <f>$CJ$12*'Прогноз цен'!$I$34</f>
        <v>201.95795400000011</v>
      </c>
      <c r="CN12" s="103">
        <f>$CJ$12*'Прогноз цен'!$I$34</f>
        <v>201.95795400000011</v>
      </c>
      <c r="CO12" s="103">
        <f>$CJ$12*'Прогноз цен'!$I$34</f>
        <v>201.95795400000011</v>
      </c>
      <c r="CP12" s="103">
        <f>$CJ$12*'Прогноз цен'!$I$34</f>
        <v>201.95795400000011</v>
      </c>
      <c r="CQ12" s="103">
        <f>$CJ$12*'Прогноз цен'!$I$34</f>
        <v>201.95795400000011</v>
      </c>
      <c r="CR12" s="103">
        <f>$CJ$12*'Прогноз цен'!$I$34</f>
        <v>201.95795400000011</v>
      </c>
      <c r="CS12" s="103">
        <f>$CJ$12*'Прогноз цен'!$I$34</f>
        <v>201.95795400000011</v>
      </c>
      <c r="CT12" s="103">
        <f>$CJ$12*'Прогноз цен'!$I$34</f>
        <v>201.95795400000011</v>
      </c>
      <c r="CU12" s="103">
        <f>$CJ$12*'Прогноз цен'!$I$34</f>
        <v>201.95795400000011</v>
      </c>
      <c r="CV12" s="103">
        <f>$CJ$12*'Прогноз цен'!$I$34</f>
        <v>201.95795400000011</v>
      </c>
      <c r="CW12" s="103">
        <f>$CV$12*'Прогноз цен'!$J$34</f>
        <v>222.15374940000015</v>
      </c>
      <c r="CX12" s="103">
        <f>$CV$12*'Прогноз цен'!$J$34</f>
        <v>222.15374940000015</v>
      </c>
      <c r="CY12" s="103">
        <f>$CV$12*'Прогноз цен'!$J$34</f>
        <v>222.15374940000015</v>
      </c>
      <c r="CZ12" s="103">
        <f>$CV$12*'Прогноз цен'!$J$34</f>
        <v>222.15374940000015</v>
      </c>
      <c r="DA12" s="103">
        <f>$CV$12*'Прогноз цен'!$J$34</f>
        <v>222.15374940000015</v>
      </c>
      <c r="DB12" s="103">
        <f>$CV$12*'Прогноз цен'!$J$34</f>
        <v>222.15374940000015</v>
      </c>
      <c r="DC12" s="103">
        <f>$CV$12*'Прогноз цен'!$J$34</f>
        <v>222.15374940000015</v>
      </c>
      <c r="DD12" s="103">
        <f>$CV$12*'Прогноз цен'!$J$34</f>
        <v>222.15374940000015</v>
      </c>
      <c r="DE12" s="103">
        <f>$CV$12*'Прогноз цен'!$J$34</f>
        <v>222.15374940000015</v>
      </c>
      <c r="DF12" s="103">
        <f>$CV$12*'Прогноз цен'!$J$34</f>
        <v>222.15374940000015</v>
      </c>
      <c r="DG12" s="103">
        <f>$CV$12*'Прогноз цен'!$J$34</f>
        <v>222.15374940000015</v>
      </c>
      <c r="DH12" s="103">
        <f>$CV$12*'Прогноз цен'!$J$34</f>
        <v>222.15374940000015</v>
      </c>
      <c r="DI12" s="103">
        <f>$DH$12*'Прогноз цен'!$K$34</f>
        <v>244.36912434000018</v>
      </c>
      <c r="DJ12" s="103">
        <f>$DH$12*'Прогноз цен'!$K$34</f>
        <v>244.36912434000018</v>
      </c>
      <c r="DK12" s="103">
        <f>$DH$12*'Прогноз цен'!$K$34</f>
        <v>244.36912434000018</v>
      </c>
      <c r="DL12" s="103">
        <f>$DH$12*'Прогноз цен'!$K$34</f>
        <v>244.36912434000018</v>
      </c>
      <c r="DM12" s="103">
        <f>$DH$12*'Прогноз цен'!$K$34</f>
        <v>244.36912434000018</v>
      </c>
      <c r="DN12" s="103">
        <f>$DH$12*'Прогноз цен'!$K$34</f>
        <v>244.36912434000018</v>
      </c>
      <c r="DO12" s="103">
        <f>$DH$12*'Прогноз цен'!$K$34</f>
        <v>244.36912434000018</v>
      </c>
      <c r="DP12" s="103">
        <f>$DH$12*'Прогноз цен'!$K$34</f>
        <v>244.36912434000018</v>
      </c>
      <c r="DQ12" s="103">
        <f>$DH$12*'Прогноз цен'!$K$34</f>
        <v>244.36912434000018</v>
      </c>
      <c r="DR12" s="103">
        <f>$DH$12*'Прогноз цен'!$K$34</f>
        <v>244.36912434000018</v>
      </c>
      <c r="DS12" s="103">
        <f>$DH$12*'Прогноз цен'!$K$34</f>
        <v>244.36912434000018</v>
      </c>
      <c r="DT12" s="103">
        <f>$DH$12*'Прогноз цен'!$K$34</f>
        <v>244.36912434000018</v>
      </c>
    </row>
    <row r="13" spans="1:136" s="64" customFormat="1" ht="12.75" customHeight="1">
      <c r="A13" s="108">
        <v>2</v>
      </c>
      <c r="B13" s="109" t="s">
        <v>168</v>
      </c>
      <c r="C13" s="110">
        <f>SUM(C14:C20)</f>
        <v>18</v>
      </c>
      <c r="D13" s="110"/>
      <c r="E13" s="110">
        <f t="shared" ref="E13:BG13" si="5">SUM(E14:E20)</f>
        <v>0</v>
      </c>
      <c r="F13" s="110">
        <f t="shared" si="5"/>
        <v>0</v>
      </c>
      <c r="G13" s="110">
        <f t="shared" si="5"/>
        <v>0</v>
      </c>
      <c r="H13" s="110">
        <f t="shared" si="5"/>
        <v>0</v>
      </c>
      <c r="I13" s="110">
        <f t="shared" si="5"/>
        <v>0</v>
      </c>
      <c r="J13" s="110">
        <f t="shared" si="5"/>
        <v>0</v>
      </c>
      <c r="K13" s="110">
        <f t="shared" si="5"/>
        <v>0</v>
      </c>
      <c r="L13" s="110">
        <f t="shared" si="5"/>
        <v>0</v>
      </c>
      <c r="M13" s="110">
        <f t="shared" si="5"/>
        <v>0</v>
      </c>
      <c r="N13" s="110">
        <f>SUM(N14:N20)</f>
        <v>0</v>
      </c>
      <c r="O13" s="110">
        <f t="shared" si="5"/>
        <v>555</v>
      </c>
      <c r="P13" s="110">
        <f t="shared" si="5"/>
        <v>555</v>
      </c>
      <c r="Q13" s="110">
        <f t="shared" si="5"/>
        <v>555</v>
      </c>
      <c r="R13" s="110">
        <f t="shared" si="5"/>
        <v>555</v>
      </c>
      <c r="S13" s="110">
        <f t="shared" si="5"/>
        <v>555</v>
      </c>
      <c r="T13" s="110">
        <f t="shared" si="5"/>
        <v>555</v>
      </c>
      <c r="U13" s="110">
        <f t="shared" si="5"/>
        <v>555</v>
      </c>
      <c r="V13" s="110">
        <f t="shared" si="5"/>
        <v>555</v>
      </c>
      <c r="W13" s="110">
        <f t="shared" si="5"/>
        <v>555</v>
      </c>
      <c r="X13" s="110">
        <f t="shared" si="5"/>
        <v>555</v>
      </c>
      <c r="Y13" s="110">
        <f t="shared" si="5"/>
        <v>555</v>
      </c>
      <c r="Z13" s="110">
        <f t="shared" si="5"/>
        <v>555</v>
      </c>
      <c r="AA13" s="110">
        <f t="shared" si="5"/>
        <v>555</v>
      </c>
      <c r="AB13" s="110">
        <f t="shared" si="5"/>
        <v>1076</v>
      </c>
      <c r="AC13" s="110">
        <f t="shared" si="5"/>
        <v>1183.6000000000001</v>
      </c>
      <c r="AD13" s="110">
        <f t="shared" si="5"/>
        <v>1183.6000000000001</v>
      </c>
      <c r="AE13" s="110">
        <f t="shared" si="5"/>
        <v>1183.6000000000001</v>
      </c>
      <c r="AF13" s="110">
        <f t="shared" si="5"/>
        <v>1183.6000000000001</v>
      </c>
      <c r="AG13" s="110">
        <f t="shared" si="5"/>
        <v>1183.6000000000001</v>
      </c>
      <c r="AH13" s="110">
        <f t="shared" si="5"/>
        <v>1183.6000000000001</v>
      </c>
      <c r="AI13" s="110">
        <f t="shared" si="5"/>
        <v>1183.6000000000001</v>
      </c>
      <c r="AJ13" s="110">
        <f t="shared" si="5"/>
        <v>1183.6000000000001</v>
      </c>
      <c r="AK13" s="110">
        <f t="shared" si="5"/>
        <v>1183.6000000000001</v>
      </c>
      <c r="AL13" s="110">
        <f t="shared" si="5"/>
        <v>1183.6000000000001</v>
      </c>
      <c r="AM13" s="110">
        <f t="shared" si="5"/>
        <v>1183.6000000000001</v>
      </c>
      <c r="AN13" s="110">
        <f t="shared" si="5"/>
        <v>1183.6000000000001</v>
      </c>
      <c r="AO13" s="110">
        <f t="shared" si="5"/>
        <v>1301.9600000000003</v>
      </c>
      <c r="AP13" s="110">
        <f t="shared" si="5"/>
        <v>1301.9600000000003</v>
      </c>
      <c r="AQ13" s="110">
        <f t="shared" si="5"/>
        <v>1301.9600000000003</v>
      </c>
      <c r="AR13" s="110">
        <f t="shared" si="5"/>
        <v>1301.9600000000003</v>
      </c>
      <c r="AS13" s="110">
        <f t="shared" si="5"/>
        <v>1301.9600000000003</v>
      </c>
      <c r="AT13" s="110">
        <f t="shared" si="5"/>
        <v>1301.9600000000003</v>
      </c>
      <c r="AU13" s="110">
        <f t="shared" si="5"/>
        <v>1301.9600000000003</v>
      </c>
      <c r="AV13" s="110">
        <f t="shared" si="5"/>
        <v>1301.9600000000003</v>
      </c>
      <c r="AW13" s="110">
        <f t="shared" si="5"/>
        <v>1301.9600000000003</v>
      </c>
      <c r="AX13" s="110">
        <f t="shared" si="5"/>
        <v>1301.9600000000003</v>
      </c>
      <c r="AY13" s="110">
        <f t="shared" si="5"/>
        <v>1301.9600000000003</v>
      </c>
      <c r="AZ13" s="110">
        <f t="shared" si="5"/>
        <v>1301.9600000000003</v>
      </c>
      <c r="BA13" s="110">
        <f t="shared" si="5"/>
        <v>1432.1560000000004</v>
      </c>
      <c r="BB13" s="110">
        <f t="shared" si="5"/>
        <v>1432.1560000000004</v>
      </c>
      <c r="BC13" s="110">
        <f t="shared" si="5"/>
        <v>1432.1560000000004</v>
      </c>
      <c r="BD13" s="110">
        <f t="shared" si="5"/>
        <v>1432.1560000000004</v>
      </c>
      <c r="BE13" s="110">
        <f t="shared" si="5"/>
        <v>1432.1560000000004</v>
      </c>
      <c r="BF13" s="110">
        <f t="shared" si="5"/>
        <v>1432.1560000000004</v>
      </c>
      <c r="BG13" s="110">
        <f t="shared" si="5"/>
        <v>1432.1560000000004</v>
      </c>
      <c r="BH13" s="110">
        <f t="shared" ref="BH13:DS13" si="6">SUM(BH14:BH20)</f>
        <v>1432.1560000000004</v>
      </c>
      <c r="BI13" s="110">
        <f t="shared" si="6"/>
        <v>1432.1560000000004</v>
      </c>
      <c r="BJ13" s="110">
        <f t="shared" si="6"/>
        <v>1432.1560000000004</v>
      </c>
      <c r="BK13" s="110">
        <f t="shared" si="6"/>
        <v>1432.1560000000004</v>
      </c>
      <c r="BL13" s="110">
        <f t="shared" si="6"/>
        <v>1432.1560000000004</v>
      </c>
      <c r="BM13" s="110">
        <f t="shared" si="6"/>
        <v>1575.3716000000004</v>
      </c>
      <c r="BN13" s="110">
        <f t="shared" si="6"/>
        <v>1575.3716000000004</v>
      </c>
      <c r="BO13" s="110">
        <f t="shared" si="6"/>
        <v>1575.3716000000004</v>
      </c>
      <c r="BP13" s="110">
        <f t="shared" si="6"/>
        <v>1575.3716000000004</v>
      </c>
      <c r="BQ13" s="110">
        <f t="shared" si="6"/>
        <v>1575.3716000000004</v>
      </c>
      <c r="BR13" s="110">
        <f t="shared" si="6"/>
        <v>1575.3716000000004</v>
      </c>
      <c r="BS13" s="110">
        <f t="shared" si="6"/>
        <v>1575.3716000000004</v>
      </c>
      <c r="BT13" s="110">
        <f t="shared" si="6"/>
        <v>1575.3716000000004</v>
      </c>
      <c r="BU13" s="110">
        <f t="shared" si="6"/>
        <v>1575.3716000000004</v>
      </c>
      <c r="BV13" s="110">
        <f t="shared" si="6"/>
        <v>1575.3716000000004</v>
      </c>
      <c r="BW13" s="110">
        <f t="shared" si="6"/>
        <v>1575.3716000000004</v>
      </c>
      <c r="BX13" s="110">
        <f t="shared" si="6"/>
        <v>1575.3716000000004</v>
      </c>
      <c r="BY13" s="110">
        <f t="shared" si="6"/>
        <v>1732.9087600000003</v>
      </c>
      <c r="BZ13" s="110">
        <f t="shared" si="6"/>
        <v>1732.9087600000003</v>
      </c>
      <c r="CA13" s="110">
        <f t="shared" si="6"/>
        <v>1732.9087600000003</v>
      </c>
      <c r="CB13" s="110">
        <f t="shared" si="6"/>
        <v>1732.9087600000003</v>
      </c>
      <c r="CC13" s="110">
        <f t="shared" si="6"/>
        <v>1732.9087600000003</v>
      </c>
      <c r="CD13" s="110">
        <f t="shared" si="6"/>
        <v>1732.9087600000003</v>
      </c>
      <c r="CE13" s="110">
        <f t="shared" si="6"/>
        <v>1732.9087600000003</v>
      </c>
      <c r="CF13" s="110">
        <f t="shared" si="6"/>
        <v>1732.9087600000003</v>
      </c>
      <c r="CG13" s="110">
        <f t="shared" si="6"/>
        <v>1732.9087600000003</v>
      </c>
      <c r="CH13" s="110">
        <f t="shared" si="6"/>
        <v>1732.9087600000003</v>
      </c>
      <c r="CI13" s="110">
        <f t="shared" si="6"/>
        <v>1732.9087600000003</v>
      </c>
      <c r="CJ13" s="110">
        <f t="shared" si="6"/>
        <v>1732.9087600000003</v>
      </c>
      <c r="CK13" s="110">
        <f t="shared" si="6"/>
        <v>1906.199636000001</v>
      </c>
      <c r="CL13" s="110">
        <f t="shared" si="6"/>
        <v>1906.199636000001</v>
      </c>
      <c r="CM13" s="110">
        <f t="shared" si="6"/>
        <v>1906.199636000001</v>
      </c>
      <c r="CN13" s="110">
        <f t="shared" si="6"/>
        <v>1906.199636000001</v>
      </c>
      <c r="CO13" s="110">
        <f t="shared" si="6"/>
        <v>1906.199636000001</v>
      </c>
      <c r="CP13" s="110">
        <f t="shared" si="6"/>
        <v>1906.199636000001</v>
      </c>
      <c r="CQ13" s="110">
        <f t="shared" si="6"/>
        <v>1906.199636000001</v>
      </c>
      <c r="CR13" s="110">
        <f t="shared" si="6"/>
        <v>1906.199636000001</v>
      </c>
      <c r="CS13" s="110">
        <f t="shared" si="6"/>
        <v>1906.199636000001</v>
      </c>
      <c r="CT13" s="110">
        <f t="shared" si="6"/>
        <v>1906.199636000001</v>
      </c>
      <c r="CU13" s="110">
        <f t="shared" si="6"/>
        <v>1906.199636000001</v>
      </c>
      <c r="CV13" s="110">
        <f t="shared" si="6"/>
        <v>1906.199636000001</v>
      </c>
      <c r="CW13" s="110">
        <f t="shared" si="6"/>
        <v>2096.8195996000013</v>
      </c>
      <c r="CX13" s="110">
        <f t="shared" si="6"/>
        <v>2096.8195996000013</v>
      </c>
      <c r="CY13" s="110">
        <f t="shared" si="6"/>
        <v>2096.8195996000013</v>
      </c>
      <c r="CZ13" s="110">
        <f t="shared" si="6"/>
        <v>2096.8195996000013</v>
      </c>
      <c r="DA13" s="110">
        <f t="shared" si="6"/>
        <v>2096.8195996000013</v>
      </c>
      <c r="DB13" s="110">
        <f t="shared" si="6"/>
        <v>2096.8195996000013</v>
      </c>
      <c r="DC13" s="110">
        <f t="shared" si="6"/>
        <v>2096.8195996000013</v>
      </c>
      <c r="DD13" s="110">
        <f t="shared" si="6"/>
        <v>2096.8195996000013</v>
      </c>
      <c r="DE13" s="110">
        <f t="shared" si="6"/>
        <v>2096.8195996000013</v>
      </c>
      <c r="DF13" s="110">
        <f t="shared" si="6"/>
        <v>2096.8195996000013</v>
      </c>
      <c r="DG13" s="110">
        <f t="shared" si="6"/>
        <v>2096.8195996000013</v>
      </c>
      <c r="DH13" s="110">
        <f t="shared" si="6"/>
        <v>2096.8195996000013</v>
      </c>
      <c r="DI13" s="110">
        <f t="shared" si="6"/>
        <v>2306.5015595600012</v>
      </c>
      <c r="DJ13" s="110">
        <f t="shared" si="6"/>
        <v>2306.5015595600012</v>
      </c>
      <c r="DK13" s="110">
        <f t="shared" si="6"/>
        <v>2306.5015595600012</v>
      </c>
      <c r="DL13" s="110">
        <f t="shared" si="6"/>
        <v>2306.5015595600012</v>
      </c>
      <c r="DM13" s="110">
        <f t="shared" si="6"/>
        <v>2306.5015595600012</v>
      </c>
      <c r="DN13" s="110">
        <f t="shared" si="6"/>
        <v>2306.5015595600012</v>
      </c>
      <c r="DO13" s="110">
        <f t="shared" si="6"/>
        <v>2306.5015595600012</v>
      </c>
      <c r="DP13" s="110">
        <f t="shared" si="6"/>
        <v>2306.5015595600012</v>
      </c>
      <c r="DQ13" s="110">
        <f t="shared" si="6"/>
        <v>2306.5015595600012</v>
      </c>
      <c r="DR13" s="110">
        <f t="shared" si="6"/>
        <v>2306.5015595600012</v>
      </c>
      <c r="DS13" s="110">
        <f t="shared" si="6"/>
        <v>2306.5015595600012</v>
      </c>
      <c r="DT13" s="110">
        <f t="shared" ref="DT13" si="7">SUM(DT14:DT20)</f>
        <v>2306.5015595600012</v>
      </c>
    </row>
    <row r="14" spans="1:136" s="64" customFormat="1" ht="12.75" customHeight="1">
      <c r="A14" s="101" t="s">
        <v>39</v>
      </c>
      <c r="B14" s="102" t="s">
        <v>280</v>
      </c>
      <c r="C14" s="224">
        <v>2</v>
      </c>
      <c r="D14" s="223">
        <v>69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f>$D$14*Исх.данные!$B$97*'Прогноз цен'!$B$34</f>
        <v>69</v>
      </c>
      <c r="P14" s="103">
        <f>$D$14*Исх.данные!$B$97*'Прогноз цен'!$B$34</f>
        <v>69</v>
      </c>
      <c r="Q14" s="103">
        <f>$D$14*Исх.данные!$B$97*'Прогноз цен'!$C$34</f>
        <v>69</v>
      </c>
      <c r="R14" s="103">
        <f>$D$14*Исх.данные!$B$97*'Прогноз цен'!$C$34</f>
        <v>69</v>
      </c>
      <c r="S14" s="103">
        <f>$D$14*Исх.данные!$B$97*'Прогноз цен'!$C$34</f>
        <v>69</v>
      </c>
      <c r="T14" s="103">
        <f>$D$14*Исх.данные!$B$97*'Прогноз цен'!$C$34</f>
        <v>69</v>
      </c>
      <c r="U14" s="103">
        <f>$D$14*Исх.данные!$B$97*'Прогноз цен'!$C$34</f>
        <v>69</v>
      </c>
      <c r="V14" s="103">
        <f>$D$14*Исх.данные!$B$97*'Прогноз цен'!$C$34</f>
        <v>69</v>
      </c>
      <c r="W14" s="103">
        <f>$D$14*Исх.данные!$B$97*'Прогноз цен'!$C$34</f>
        <v>69</v>
      </c>
      <c r="X14" s="103">
        <f>$D$14*Исх.данные!$B$97*'Прогноз цен'!$C$34</f>
        <v>69</v>
      </c>
      <c r="Y14" s="103">
        <f>$D$14*Исх.данные!$B$97*'Прогноз цен'!$C$34</f>
        <v>69</v>
      </c>
      <c r="Z14" s="103">
        <f>$D$14*Исх.данные!$B$97*'Прогноз цен'!$C$34</f>
        <v>69</v>
      </c>
      <c r="AA14" s="103">
        <f>$D$14*Исх.данные!$B$97*'Прогноз цен'!$C$34</f>
        <v>69</v>
      </c>
      <c r="AB14" s="103">
        <f>D14*Исх.данные!C97*'Прогноз цен'!$C$34</f>
        <v>138</v>
      </c>
      <c r="AC14" s="103">
        <f>$AB$14*'Прогноз цен'!$D$34</f>
        <v>151.80000000000001</v>
      </c>
      <c r="AD14" s="103">
        <f>$AB$14*'Прогноз цен'!$D$34</f>
        <v>151.80000000000001</v>
      </c>
      <c r="AE14" s="103">
        <f>$AB$14*'Прогноз цен'!$D$34</f>
        <v>151.80000000000001</v>
      </c>
      <c r="AF14" s="103">
        <f>$AB$14*'Прогноз цен'!$D$34</f>
        <v>151.80000000000001</v>
      </c>
      <c r="AG14" s="103">
        <f>$AB$14*'Прогноз цен'!$D$34</f>
        <v>151.80000000000001</v>
      </c>
      <c r="AH14" s="103">
        <f>$AB$14*'Прогноз цен'!$D$34</f>
        <v>151.80000000000001</v>
      </c>
      <c r="AI14" s="103">
        <f>$AB$14*'Прогноз цен'!$D$34</f>
        <v>151.80000000000001</v>
      </c>
      <c r="AJ14" s="103">
        <f>$AB$14*'Прогноз цен'!$D$34</f>
        <v>151.80000000000001</v>
      </c>
      <c r="AK14" s="103">
        <f>$AB$14*'Прогноз цен'!$D$34</f>
        <v>151.80000000000001</v>
      </c>
      <c r="AL14" s="103">
        <f>$AB$14*'Прогноз цен'!$D$34</f>
        <v>151.80000000000001</v>
      </c>
      <c r="AM14" s="103">
        <f>$AB$14*'Прогноз цен'!$D$34</f>
        <v>151.80000000000001</v>
      </c>
      <c r="AN14" s="103">
        <f>$AB$14*'Прогноз цен'!$D$34</f>
        <v>151.80000000000001</v>
      </c>
      <c r="AO14" s="103">
        <f>$AN$14*'Прогноз цен'!$E$34</f>
        <v>166.98000000000002</v>
      </c>
      <c r="AP14" s="103">
        <f>$AN$14*'Прогноз цен'!$E$34</f>
        <v>166.98000000000002</v>
      </c>
      <c r="AQ14" s="103">
        <f>$AN$14*'Прогноз цен'!$E$34</f>
        <v>166.98000000000002</v>
      </c>
      <c r="AR14" s="103">
        <f>$AN$14*'Прогноз цен'!$E$34</f>
        <v>166.98000000000002</v>
      </c>
      <c r="AS14" s="103">
        <f>$AN$14*'Прогноз цен'!$E$34</f>
        <v>166.98000000000002</v>
      </c>
      <c r="AT14" s="103">
        <f>$AN$14*'Прогноз цен'!$E$34</f>
        <v>166.98000000000002</v>
      </c>
      <c r="AU14" s="103">
        <f>$AN$14*'Прогноз цен'!$E$34</f>
        <v>166.98000000000002</v>
      </c>
      <c r="AV14" s="103">
        <f>$AN$14*'Прогноз цен'!$E$34</f>
        <v>166.98000000000002</v>
      </c>
      <c r="AW14" s="103">
        <f>$AN$14*'Прогноз цен'!$E$34</f>
        <v>166.98000000000002</v>
      </c>
      <c r="AX14" s="103">
        <f>$AN$14*'Прогноз цен'!$E$34</f>
        <v>166.98000000000002</v>
      </c>
      <c r="AY14" s="103">
        <f>$AN$14*'Прогноз цен'!$E$34</f>
        <v>166.98000000000002</v>
      </c>
      <c r="AZ14" s="103">
        <f>$AN$14*'Прогноз цен'!$E$34</f>
        <v>166.98000000000002</v>
      </c>
      <c r="BA14" s="103">
        <f>$AZ$14*'Прогноз цен'!$F$34</f>
        <v>183.67800000000003</v>
      </c>
      <c r="BB14" s="103">
        <f>$AZ$14*'Прогноз цен'!$F$34</f>
        <v>183.67800000000003</v>
      </c>
      <c r="BC14" s="103">
        <f>$AZ$14*'Прогноз цен'!$F$34</f>
        <v>183.67800000000003</v>
      </c>
      <c r="BD14" s="103">
        <f>$AZ$14*'Прогноз цен'!$F$34</f>
        <v>183.67800000000003</v>
      </c>
      <c r="BE14" s="103">
        <f>$AZ$14*'Прогноз цен'!$F$34</f>
        <v>183.67800000000003</v>
      </c>
      <c r="BF14" s="103">
        <f>$AZ$14*'Прогноз цен'!$F$34</f>
        <v>183.67800000000003</v>
      </c>
      <c r="BG14" s="103">
        <f>$AZ$14*'Прогноз цен'!$F$34</f>
        <v>183.67800000000003</v>
      </c>
      <c r="BH14" s="103">
        <f>$AZ$14*'Прогноз цен'!$F$34</f>
        <v>183.67800000000003</v>
      </c>
      <c r="BI14" s="103">
        <f>$AZ$14*'Прогноз цен'!$F$34</f>
        <v>183.67800000000003</v>
      </c>
      <c r="BJ14" s="103">
        <f>$AZ$14*'Прогноз цен'!$F$34</f>
        <v>183.67800000000003</v>
      </c>
      <c r="BK14" s="103">
        <f>$AZ$14*'Прогноз цен'!$F$34</f>
        <v>183.67800000000003</v>
      </c>
      <c r="BL14" s="103">
        <f>$AZ$14*'Прогноз цен'!$F$34</f>
        <v>183.67800000000003</v>
      </c>
      <c r="BM14" s="103">
        <f>$BL$14*'Прогноз цен'!$G$34</f>
        <v>202.04580000000004</v>
      </c>
      <c r="BN14" s="103">
        <f>$BL$14*'Прогноз цен'!$G$34</f>
        <v>202.04580000000004</v>
      </c>
      <c r="BO14" s="103">
        <f>$BL$14*'Прогноз цен'!$G$34</f>
        <v>202.04580000000004</v>
      </c>
      <c r="BP14" s="103">
        <f>$BL$14*'Прогноз цен'!$G$34</f>
        <v>202.04580000000004</v>
      </c>
      <c r="BQ14" s="103">
        <f>$BL$14*'Прогноз цен'!$G$34</f>
        <v>202.04580000000004</v>
      </c>
      <c r="BR14" s="103">
        <f>$BL$14*'Прогноз цен'!$G$34</f>
        <v>202.04580000000004</v>
      </c>
      <c r="BS14" s="103">
        <f>$BL$14*'Прогноз цен'!$G$34</f>
        <v>202.04580000000004</v>
      </c>
      <c r="BT14" s="103">
        <f>$BL$14*'Прогноз цен'!$G$34</f>
        <v>202.04580000000004</v>
      </c>
      <c r="BU14" s="103">
        <f>$BL$14*'Прогноз цен'!$G$34</f>
        <v>202.04580000000004</v>
      </c>
      <c r="BV14" s="103">
        <f>$BL$14*'Прогноз цен'!$G$34</f>
        <v>202.04580000000004</v>
      </c>
      <c r="BW14" s="103">
        <f>$BL$14*'Прогноз цен'!$G$34</f>
        <v>202.04580000000004</v>
      </c>
      <c r="BX14" s="103">
        <f>$BL$14*'Прогноз цен'!$G$34</f>
        <v>202.04580000000004</v>
      </c>
      <c r="BY14" s="103">
        <f>$BX$14*'Прогноз цен'!$H$34</f>
        <v>222.25038000000006</v>
      </c>
      <c r="BZ14" s="103">
        <f>$BX$14*'Прогноз цен'!$H$34</f>
        <v>222.25038000000006</v>
      </c>
      <c r="CA14" s="103">
        <f>$BX$14*'Прогноз цен'!$H$34</f>
        <v>222.25038000000006</v>
      </c>
      <c r="CB14" s="103">
        <f>$BX$14*'Прогноз цен'!$H$34</f>
        <v>222.25038000000006</v>
      </c>
      <c r="CC14" s="103">
        <f>$BX$14*'Прогноз цен'!$H$34</f>
        <v>222.25038000000006</v>
      </c>
      <c r="CD14" s="103">
        <f>$BX$14*'Прогноз цен'!$H$34</f>
        <v>222.25038000000006</v>
      </c>
      <c r="CE14" s="103">
        <f>$BX$14*'Прогноз цен'!$H$34</f>
        <v>222.25038000000006</v>
      </c>
      <c r="CF14" s="103">
        <f>$BX$14*'Прогноз цен'!$H$34</f>
        <v>222.25038000000006</v>
      </c>
      <c r="CG14" s="103">
        <f>$BX$14*'Прогноз цен'!$H$34</f>
        <v>222.25038000000006</v>
      </c>
      <c r="CH14" s="103">
        <f>$BX$14*'Прогноз цен'!$H$34</f>
        <v>222.25038000000006</v>
      </c>
      <c r="CI14" s="103">
        <f>$BX$14*'Прогноз цен'!$H$34</f>
        <v>222.25038000000006</v>
      </c>
      <c r="CJ14" s="103">
        <f>$BX$14*'Прогноз цен'!$H$34</f>
        <v>222.25038000000006</v>
      </c>
      <c r="CK14" s="103">
        <f>$CJ$14*'Прогноз цен'!$I$34</f>
        <v>244.47541800000008</v>
      </c>
      <c r="CL14" s="103">
        <f>$CJ$14*'Прогноз цен'!$I$34</f>
        <v>244.47541800000008</v>
      </c>
      <c r="CM14" s="103">
        <f>$CJ$14*'Прогноз цен'!$I$34</f>
        <v>244.47541800000008</v>
      </c>
      <c r="CN14" s="103">
        <f>$CJ$14*'Прогноз цен'!$I$34</f>
        <v>244.47541800000008</v>
      </c>
      <c r="CO14" s="103">
        <f>$CJ$14*'Прогноз цен'!$I$34</f>
        <v>244.47541800000008</v>
      </c>
      <c r="CP14" s="103">
        <f>$CJ$14*'Прогноз цен'!$I$34</f>
        <v>244.47541800000008</v>
      </c>
      <c r="CQ14" s="103">
        <f>$CJ$14*'Прогноз цен'!$I$34</f>
        <v>244.47541800000008</v>
      </c>
      <c r="CR14" s="103">
        <f>$CJ$14*'Прогноз цен'!$I$34</f>
        <v>244.47541800000008</v>
      </c>
      <c r="CS14" s="103">
        <f>$CJ$14*'Прогноз цен'!$I$34</f>
        <v>244.47541800000008</v>
      </c>
      <c r="CT14" s="103">
        <f>$CJ$14*'Прогноз цен'!$I$34</f>
        <v>244.47541800000008</v>
      </c>
      <c r="CU14" s="103">
        <f>$CJ$14*'Прогноз цен'!$I$34</f>
        <v>244.47541800000008</v>
      </c>
      <c r="CV14" s="103">
        <f>$CJ$14*'Прогноз цен'!$I$34</f>
        <v>244.47541800000008</v>
      </c>
      <c r="CW14" s="103">
        <f>$CV$14*'Прогноз цен'!$J$34</f>
        <v>268.92295980000011</v>
      </c>
      <c r="CX14" s="103">
        <f>$CV$14*'Прогноз цен'!$J$34</f>
        <v>268.92295980000011</v>
      </c>
      <c r="CY14" s="103">
        <f>$CV$14*'Прогноз цен'!$J$34</f>
        <v>268.92295980000011</v>
      </c>
      <c r="CZ14" s="103">
        <f>$CV$14*'Прогноз цен'!$J$34</f>
        <v>268.92295980000011</v>
      </c>
      <c r="DA14" s="103">
        <f>$CV$14*'Прогноз цен'!$J$34</f>
        <v>268.92295980000011</v>
      </c>
      <c r="DB14" s="103">
        <f>$CV$14*'Прогноз цен'!$J$34</f>
        <v>268.92295980000011</v>
      </c>
      <c r="DC14" s="103">
        <f>$CV$14*'Прогноз цен'!$J$34</f>
        <v>268.92295980000011</v>
      </c>
      <c r="DD14" s="103">
        <f>$CV$14*'Прогноз цен'!$J$34</f>
        <v>268.92295980000011</v>
      </c>
      <c r="DE14" s="103">
        <f>$CV$14*'Прогноз цен'!$J$34</f>
        <v>268.92295980000011</v>
      </c>
      <c r="DF14" s="103">
        <f>$CV$14*'Прогноз цен'!$J$34</f>
        <v>268.92295980000011</v>
      </c>
      <c r="DG14" s="103">
        <f>$CV$14*'Прогноз цен'!$J$34</f>
        <v>268.92295980000011</v>
      </c>
      <c r="DH14" s="103">
        <f>$CV$14*'Прогноз цен'!$J$34</f>
        <v>268.92295980000011</v>
      </c>
      <c r="DI14" s="103">
        <f>$DH$14*'Прогноз цен'!$K$34</f>
        <v>295.81525578000014</v>
      </c>
      <c r="DJ14" s="103">
        <f>$DH$14*'Прогноз цен'!$K$34</f>
        <v>295.81525578000014</v>
      </c>
      <c r="DK14" s="103">
        <f>$DH$14*'Прогноз цен'!$K$34</f>
        <v>295.81525578000014</v>
      </c>
      <c r="DL14" s="103">
        <f>$DH$14*'Прогноз цен'!$K$34</f>
        <v>295.81525578000014</v>
      </c>
      <c r="DM14" s="103">
        <f>$DH$14*'Прогноз цен'!$K$34</f>
        <v>295.81525578000014</v>
      </c>
      <c r="DN14" s="103">
        <f>$DH$14*'Прогноз цен'!$K$34</f>
        <v>295.81525578000014</v>
      </c>
      <c r="DO14" s="103">
        <f>$DH$14*'Прогноз цен'!$K$34</f>
        <v>295.81525578000014</v>
      </c>
      <c r="DP14" s="103">
        <f>$DH$14*'Прогноз цен'!$K$34</f>
        <v>295.81525578000014</v>
      </c>
      <c r="DQ14" s="103">
        <f>$DH$14*'Прогноз цен'!$K$34</f>
        <v>295.81525578000014</v>
      </c>
      <c r="DR14" s="103">
        <f>$DH$14*'Прогноз цен'!$K$34</f>
        <v>295.81525578000014</v>
      </c>
      <c r="DS14" s="103">
        <f>$DH$14*'Прогноз цен'!$K$34</f>
        <v>295.81525578000014</v>
      </c>
      <c r="DT14" s="103">
        <f>$DH$14*'Прогноз цен'!$K$34</f>
        <v>295.81525578000014</v>
      </c>
    </row>
    <row r="15" spans="1:136" s="64" customFormat="1" ht="12.75" customHeight="1">
      <c r="A15" s="101" t="s">
        <v>40</v>
      </c>
      <c r="B15" s="102" t="s">
        <v>281</v>
      </c>
      <c r="C15" s="224">
        <v>4</v>
      </c>
      <c r="D15" s="223">
        <v>57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f>$D$15*Исх.данные!$B$98*'Прогноз цен'!$B$34</f>
        <v>114</v>
      </c>
      <c r="P15" s="103">
        <f>$D$15*Исх.данные!$B$98*'Прогноз цен'!$B$34</f>
        <v>114</v>
      </c>
      <c r="Q15" s="103">
        <f>$D$15*Исх.данные!$B$98*'Прогноз цен'!$C$34</f>
        <v>114</v>
      </c>
      <c r="R15" s="103">
        <f>$D$15*Исх.данные!$B$98*'Прогноз цен'!$C$34</f>
        <v>114</v>
      </c>
      <c r="S15" s="103">
        <f>$D$15*Исх.данные!$B$98*'Прогноз цен'!$C$34</f>
        <v>114</v>
      </c>
      <c r="T15" s="103">
        <f>$D$15*Исх.данные!$B$98*'Прогноз цен'!$C$34</f>
        <v>114</v>
      </c>
      <c r="U15" s="103">
        <f>$D$15*Исх.данные!$B$98*'Прогноз цен'!$C$34</f>
        <v>114</v>
      </c>
      <c r="V15" s="103">
        <f>$D$15*Исх.данные!$B$98*'Прогноз цен'!$C$34</f>
        <v>114</v>
      </c>
      <c r="W15" s="103">
        <f>$D$15*Исх.данные!$B$98*'Прогноз цен'!$C$34</f>
        <v>114</v>
      </c>
      <c r="X15" s="103">
        <f>$D$15*Исх.данные!$B$98*'Прогноз цен'!$C$34</f>
        <v>114</v>
      </c>
      <c r="Y15" s="103">
        <f>$D$15*Исх.данные!$B$98*'Прогноз цен'!$C$34</f>
        <v>114</v>
      </c>
      <c r="Z15" s="103">
        <f>$D$15*Исх.данные!$B$98*'Прогноз цен'!$C$34</f>
        <v>114</v>
      </c>
      <c r="AA15" s="103">
        <f>$D$15*Исх.данные!$B$98*'Прогноз цен'!$C$34</f>
        <v>114</v>
      </c>
      <c r="AB15" s="103">
        <f>D15*Исх.данные!C98*'Прогноз цен'!$C$34</f>
        <v>228</v>
      </c>
      <c r="AC15" s="103">
        <f>$AB$15*'Прогноз цен'!$D$34</f>
        <v>250.8</v>
      </c>
      <c r="AD15" s="103">
        <f>$AB$15*'Прогноз цен'!$D$34</f>
        <v>250.8</v>
      </c>
      <c r="AE15" s="103">
        <f>$AB$15*'Прогноз цен'!$D$34</f>
        <v>250.8</v>
      </c>
      <c r="AF15" s="103">
        <f>$AB$15*'Прогноз цен'!$D$34</f>
        <v>250.8</v>
      </c>
      <c r="AG15" s="103">
        <f>$AB$15*'Прогноз цен'!$D$34</f>
        <v>250.8</v>
      </c>
      <c r="AH15" s="103">
        <f>$AB$15*'Прогноз цен'!$D$34</f>
        <v>250.8</v>
      </c>
      <c r="AI15" s="103">
        <f>$AB$15*'Прогноз цен'!$D$34</f>
        <v>250.8</v>
      </c>
      <c r="AJ15" s="103">
        <f>$AB$15*'Прогноз цен'!$D$34</f>
        <v>250.8</v>
      </c>
      <c r="AK15" s="103">
        <f>$AB$15*'Прогноз цен'!$D$34</f>
        <v>250.8</v>
      </c>
      <c r="AL15" s="103">
        <f>$AB$15*'Прогноз цен'!$D$34</f>
        <v>250.8</v>
      </c>
      <c r="AM15" s="103">
        <f>$AB$15*'Прогноз цен'!$D$34</f>
        <v>250.8</v>
      </c>
      <c r="AN15" s="103">
        <f>$AB$15*'Прогноз цен'!$D$34</f>
        <v>250.8</v>
      </c>
      <c r="AO15" s="103">
        <f>$AN$15*'Прогноз цен'!$E$34</f>
        <v>275.88000000000005</v>
      </c>
      <c r="AP15" s="103">
        <f>$AN$15*'Прогноз цен'!$E$34</f>
        <v>275.88000000000005</v>
      </c>
      <c r="AQ15" s="103">
        <f>$AN$15*'Прогноз цен'!$E$34</f>
        <v>275.88000000000005</v>
      </c>
      <c r="AR15" s="103">
        <f>$AN$15*'Прогноз цен'!$E$34</f>
        <v>275.88000000000005</v>
      </c>
      <c r="AS15" s="103">
        <f>$AN$15*'Прогноз цен'!$E$34</f>
        <v>275.88000000000005</v>
      </c>
      <c r="AT15" s="103">
        <f>$AN$15*'Прогноз цен'!$E$34</f>
        <v>275.88000000000005</v>
      </c>
      <c r="AU15" s="103">
        <f>$AN$15*'Прогноз цен'!$E$34</f>
        <v>275.88000000000005</v>
      </c>
      <c r="AV15" s="103">
        <f>$AN$15*'Прогноз цен'!$E$34</f>
        <v>275.88000000000005</v>
      </c>
      <c r="AW15" s="103">
        <f>$AN$15*'Прогноз цен'!$E$34</f>
        <v>275.88000000000005</v>
      </c>
      <c r="AX15" s="103">
        <f>$AN$15*'Прогноз цен'!$E$34</f>
        <v>275.88000000000005</v>
      </c>
      <c r="AY15" s="103">
        <f>$AN$15*'Прогноз цен'!$E$34</f>
        <v>275.88000000000005</v>
      </c>
      <c r="AZ15" s="103">
        <f>$AN$15*'Прогноз цен'!$E$34</f>
        <v>275.88000000000005</v>
      </c>
      <c r="BA15" s="103">
        <f>$AZ$15*'Прогноз цен'!$F$34</f>
        <v>303.46800000000007</v>
      </c>
      <c r="BB15" s="103">
        <f>$AZ$15*'Прогноз цен'!$F$34</f>
        <v>303.46800000000007</v>
      </c>
      <c r="BC15" s="103">
        <f>$AZ$15*'Прогноз цен'!$F$34</f>
        <v>303.46800000000007</v>
      </c>
      <c r="BD15" s="103">
        <f>$AZ$15*'Прогноз цен'!$F$34</f>
        <v>303.46800000000007</v>
      </c>
      <c r="BE15" s="103">
        <f>$AZ$15*'Прогноз цен'!$F$34</f>
        <v>303.46800000000007</v>
      </c>
      <c r="BF15" s="103">
        <f>$AZ$15*'Прогноз цен'!$F$34</f>
        <v>303.46800000000007</v>
      </c>
      <c r="BG15" s="103">
        <f>$AZ$15*'Прогноз цен'!$F$34</f>
        <v>303.46800000000007</v>
      </c>
      <c r="BH15" s="103">
        <f>$AZ$15*'Прогноз цен'!$F$34</f>
        <v>303.46800000000007</v>
      </c>
      <c r="BI15" s="103">
        <f>$AZ$15*'Прогноз цен'!$F$34</f>
        <v>303.46800000000007</v>
      </c>
      <c r="BJ15" s="103">
        <f>$AZ$15*'Прогноз цен'!$F$34</f>
        <v>303.46800000000007</v>
      </c>
      <c r="BK15" s="103">
        <f>$AZ$15*'Прогноз цен'!$F$34</f>
        <v>303.46800000000007</v>
      </c>
      <c r="BL15" s="103">
        <f>$AZ$15*'Прогноз цен'!$F$34</f>
        <v>303.46800000000007</v>
      </c>
      <c r="BM15" s="103">
        <f>$BL$15*'Прогноз цен'!$G$34</f>
        <v>333.8148000000001</v>
      </c>
      <c r="BN15" s="103">
        <f>$BL$15*'Прогноз цен'!$G$34</f>
        <v>333.8148000000001</v>
      </c>
      <c r="BO15" s="103">
        <f>$BL$15*'Прогноз цен'!$G$34</f>
        <v>333.8148000000001</v>
      </c>
      <c r="BP15" s="103">
        <f>$BL$15*'Прогноз цен'!$G$34</f>
        <v>333.8148000000001</v>
      </c>
      <c r="BQ15" s="103">
        <f>$BL$15*'Прогноз цен'!$G$34</f>
        <v>333.8148000000001</v>
      </c>
      <c r="BR15" s="103">
        <f>$BL$15*'Прогноз цен'!$G$34</f>
        <v>333.8148000000001</v>
      </c>
      <c r="BS15" s="103">
        <f>$BL$15*'Прогноз цен'!$G$34</f>
        <v>333.8148000000001</v>
      </c>
      <c r="BT15" s="103">
        <f>$BL$15*'Прогноз цен'!$G$34</f>
        <v>333.8148000000001</v>
      </c>
      <c r="BU15" s="103">
        <f>$BL$15*'Прогноз цен'!$G$34</f>
        <v>333.8148000000001</v>
      </c>
      <c r="BV15" s="103">
        <f>$BL$15*'Прогноз цен'!$G$34</f>
        <v>333.8148000000001</v>
      </c>
      <c r="BW15" s="103">
        <f>$BL$15*'Прогноз цен'!$G$34</f>
        <v>333.8148000000001</v>
      </c>
      <c r="BX15" s="103">
        <f>$BL$15*'Прогноз цен'!$G$34</f>
        <v>333.8148000000001</v>
      </c>
      <c r="BY15" s="103">
        <f>$BX$15*'Прогноз цен'!$H$34</f>
        <v>367.19628000000017</v>
      </c>
      <c r="BZ15" s="103">
        <f>$BX$15*'Прогноз цен'!$H$34</f>
        <v>367.19628000000017</v>
      </c>
      <c r="CA15" s="103">
        <f>$BX$15*'Прогноз цен'!$H$34</f>
        <v>367.19628000000017</v>
      </c>
      <c r="CB15" s="103">
        <f>$BX$15*'Прогноз цен'!$H$34</f>
        <v>367.19628000000017</v>
      </c>
      <c r="CC15" s="103">
        <f>$BX$15*'Прогноз цен'!$H$34</f>
        <v>367.19628000000017</v>
      </c>
      <c r="CD15" s="103">
        <f>$BX$15*'Прогноз цен'!$H$34</f>
        <v>367.19628000000017</v>
      </c>
      <c r="CE15" s="103">
        <f>$BX$15*'Прогноз цен'!$H$34</f>
        <v>367.19628000000017</v>
      </c>
      <c r="CF15" s="103">
        <f>$BX$15*'Прогноз цен'!$H$34</f>
        <v>367.19628000000017</v>
      </c>
      <c r="CG15" s="103">
        <f>$BX$15*'Прогноз цен'!$H$34</f>
        <v>367.19628000000017</v>
      </c>
      <c r="CH15" s="103">
        <f>$BX$15*'Прогноз цен'!$H$34</f>
        <v>367.19628000000017</v>
      </c>
      <c r="CI15" s="103">
        <f>$BX$15*'Прогноз цен'!$H$34</f>
        <v>367.19628000000017</v>
      </c>
      <c r="CJ15" s="103">
        <f>$BX$15*'Прогноз цен'!$H$34</f>
        <v>367.19628000000017</v>
      </c>
      <c r="CK15" s="103">
        <f>$CJ$15*'Прогноз цен'!$I$34</f>
        <v>403.91590800000023</v>
      </c>
      <c r="CL15" s="103">
        <f>$CJ$15*'Прогноз цен'!$I$34</f>
        <v>403.91590800000023</v>
      </c>
      <c r="CM15" s="103">
        <f>$CJ$15*'Прогноз цен'!$I$34</f>
        <v>403.91590800000023</v>
      </c>
      <c r="CN15" s="103">
        <f>$CJ$15*'Прогноз цен'!$I$34</f>
        <v>403.91590800000023</v>
      </c>
      <c r="CO15" s="103">
        <f>$CJ$15*'Прогноз цен'!$I$34</f>
        <v>403.91590800000023</v>
      </c>
      <c r="CP15" s="103">
        <f>$CJ$15*'Прогноз цен'!$I$34</f>
        <v>403.91590800000023</v>
      </c>
      <c r="CQ15" s="103">
        <f>$CJ$15*'Прогноз цен'!$I$34</f>
        <v>403.91590800000023</v>
      </c>
      <c r="CR15" s="103">
        <f>$CJ$15*'Прогноз цен'!$I$34</f>
        <v>403.91590800000023</v>
      </c>
      <c r="CS15" s="103">
        <f>$CJ$15*'Прогноз цен'!$I$34</f>
        <v>403.91590800000023</v>
      </c>
      <c r="CT15" s="103">
        <f>$CJ$15*'Прогноз цен'!$I$34</f>
        <v>403.91590800000023</v>
      </c>
      <c r="CU15" s="103">
        <f>$CJ$15*'Прогноз цен'!$I$34</f>
        <v>403.91590800000023</v>
      </c>
      <c r="CV15" s="103">
        <f>$CJ$15*'Прогноз цен'!$I$34</f>
        <v>403.91590800000023</v>
      </c>
      <c r="CW15" s="103">
        <f>$CV$15*'Прогноз цен'!$J$34</f>
        <v>444.3074988000003</v>
      </c>
      <c r="CX15" s="103">
        <f>$CV$15*'Прогноз цен'!$J$34</f>
        <v>444.3074988000003</v>
      </c>
      <c r="CY15" s="103">
        <f>$CV$15*'Прогноз цен'!$J$34</f>
        <v>444.3074988000003</v>
      </c>
      <c r="CZ15" s="103">
        <f>$CV$15*'Прогноз цен'!$J$34</f>
        <v>444.3074988000003</v>
      </c>
      <c r="DA15" s="103">
        <f>$CV$15*'Прогноз цен'!$J$34</f>
        <v>444.3074988000003</v>
      </c>
      <c r="DB15" s="103">
        <f>$CV$15*'Прогноз цен'!$J$34</f>
        <v>444.3074988000003</v>
      </c>
      <c r="DC15" s="103">
        <f>$CV$15*'Прогноз цен'!$J$34</f>
        <v>444.3074988000003</v>
      </c>
      <c r="DD15" s="103">
        <f>$CV$15*'Прогноз цен'!$J$34</f>
        <v>444.3074988000003</v>
      </c>
      <c r="DE15" s="103">
        <f>$CV$15*'Прогноз цен'!$J$34</f>
        <v>444.3074988000003</v>
      </c>
      <c r="DF15" s="103">
        <f>$CV$15*'Прогноз цен'!$J$34</f>
        <v>444.3074988000003</v>
      </c>
      <c r="DG15" s="103">
        <f>$CV$15*'Прогноз цен'!$J$34</f>
        <v>444.3074988000003</v>
      </c>
      <c r="DH15" s="103">
        <f>$CV$15*'Прогноз цен'!$J$34</f>
        <v>444.3074988000003</v>
      </c>
      <c r="DI15" s="103">
        <f>$DH$15*'Прогноз цен'!$K$34</f>
        <v>488.73824868000037</v>
      </c>
      <c r="DJ15" s="103">
        <f>$DH$15*'Прогноз цен'!$K$34</f>
        <v>488.73824868000037</v>
      </c>
      <c r="DK15" s="103">
        <f>$DH$15*'Прогноз цен'!$K$34</f>
        <v>488.73824868000037</v>
      </c>
      <c r="DL15" s="103">
        <f>$DH$15*'Прогноз цен'!$K$34</f>
        <v>488.73824868000037</v>
      </c>
      <c r="DM15" s="103">
        <f>$DH$15*'Прогноз цен'!$K$34</f>
        <v>488.73824868000037</v>
      </c>
      <c r="DN15" s="103">
        <f>$DH$15*'Прогноз цен'!$K$34</f>
        <v>488.73824868000037</v>
      </c>
      <c r="DO15" s="103">
        <f>$DH$15*'Прогноз цен'!$K$34</f>
        <v>488.73824868000037</v>
      </c>
      <c r="DP15" s="103">
        <f>$DH$15*'Прогноз цен'!$K$34</f>
        <v>488.73824868000037</v>
      </c>
      <c r="DQ15" s="103">
        <f>$DH$15*'Прогноз цен'!$K$34</f>
        <v>488.73824868000037</v>
      </c>
      <c r="DR15" s="103">
        <f>$DH$15*'Прогноз цен'!$K$34</f>
        <v>488.73824868000037</v>
      </c>
      <c r="DS15" s="103">
        <f>$DH$15*'Прогноз цен'!$K$34</f>
        <v>488.73824868000037</v>
      </c>
      <c r="DT15" s="103">
        <f>$DH$15*'Прогноз цен'!$K$34</f>
        <v>488.73824868000037</v>
      </c>
    </row>
    <row r="16" spans="1:136" s="64" customFormat="1" ht="12.75" customHeight="1">
      <c r="A16" s="101" t="s">
        <v>125</v>
      </c>
      <c r="B16" s="102" t="s">
        <v>282</v>
      </c>
      <c r="C16" s="224">
        <v>3</v>
      </c>
      <c r="D16" s="223">
        <v>80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f>$D$16*Исх.данные!$B$99*'Прогноз цен'!$B$34</f>
        <v>160</v>
      </c>
      <c r="P16" s="103">
        <f>$D$16*Исх.данные!$B$99*'Прогноз цен'!$B$34</f>
        <v>160</v>
      </c>
      <c r="Q16" s="103">
        <f>$D$16*Исх.данные!$B$99*'Прогноз цен'!$C$34</f>
        <v>160</v>
      </c>
      <c r="R16" s="103">
        <f>$D$16*Исх.данные!$B$99*'Прогноз цен'!$C$34</f>
        <v>160</v>
      </c>
      <c r="S16" s="103">
        <f>$D$16*Исх.данные!$B$99*'Прогноз цен'!$C$34</f>
        <v>160</v>
      </c>
      <c r="T16" s="103">
        <f>$D$16*Исх.данные!$B$99*'Прогноз цен'!$C$34</f>
        <v>160</v>
      </c>
      <c r="U16" s="103">
        <f>$D$16*Исх.данные!$B$99*'Прогноз цен'!$C$34</f>
        <v>160</v>
      </c>
      <c r="V16" s="103">
        <f>$D$16*Исх.данные!$B$99*'Прогноз цен'!$C$34</f>
        <v>160</v>
      </c>
      <c r="W16" s="103">
        <f>$D$16*Исх.данные!$B$99*'Прогноз цен'!$C$34</f>
        <v>160</v>
      </c>
      <c r="X16" s="103">
        <f>$D$16*Исх.данные!$B$99*'Прогноз цен'!$C$34</f>
        <v>160</v>
      </c>
      <c r="Y16" s="103">
        <f>$D$16*Исх.данные!$B$99*'Прогноз цен'!$C$34</f>
        <v>160</v>
      </c>
      <c r="Z16" s="103">
        <f>$D$16*Исх.данные!$B$99*'Прогноз цен'!$C$34</f>
        <v>160</v>
      </c>
      <c r="AA16" s="103">
        <f>$D$16*Исх.данные!$B$99*'Прогноз цен'!$C$34</f>
        <v>160</v>
      </c>
      <c r="AB16" s="103">
        <f>D16*Исх.данные!C99*'Прогноз цен'!$C$34</f>
        <v>240</v>
      </c>
      <c r="AC16" s="103">
        <f>$AB$16*'Прогноз цен'!$D$34</f>
        <v>264</v>
      </c>
      <c r="AD16" s="103">
        <f>$AB$16*'Прогноз цен'!$D$34</f>
        <v>264</v>
      </c>
      <c r="AE16" s="103">
        <f>$AB$16*'Прогноз цен'!$D$34</f>
        <v>264</v>
      </c>
      <c r="AF16" s="103">
        <f>$AB$16*'Прогноз цен'!$D$34</f>
        <v>264</v>
      </c>
      <c r="AG16" s="103">
        <f>$AB$16*'Прогноз цен'!$D$34</f>
        <v>264</v>
      </c>
      <c r="AH16" s="103">
        <f>$AB$16*'Прогноз цен'!$D$34</f>
        <v>264</v>
      </c>
      <c r="AI16" s="103">
        <f>$AB$16*'Прогноз цен'!$D$34</f>
        <v>264</v>
      </c>
      <c r="AJ16" s="103">
        <f>$AB$16*'Прогноз цен'!$D$34</f>
        <v>264</v>
      </c>
      <c r="AK16" s="103">
        <f>$AB$16*'Прогноз цен'!$D$34</f>
        <v>264</v>
      </c>
      <c r="AL16" s="103">
        <f>$AB$16*'Прогноз цен'!$D$34</f>
        <v>264</v>
      </c>
      <c r="AM16" s="103">
        <f>$AB$16*'Прогноз цен'!$D$34</f>
        <v>264</v>
      </c>
      <c r="AN16" s="103">
        <f>$AB$16*'Прогноз цен'!$D$34</f>
        <v>264</v>
      </c>
      <c r="AO16" s="103">
        <f>$AN$16*'Прогноз цен'!$E$34</f>
        <v>290.40000000000003</v>
      </c>
      <c r="AP16" s="103">
        <f>$AN$16*'Прогноз цен'!$E$34</f>
        <v>290.40000000000003</v>
      </c>
      <c r="AQ16" s="103">
        <f>$AN$16*'Прогноз цен'!$E$34</f>
        <v>290.40000000000003</v>
      </c>
      <c r="AR16" s="103">
        <f>$AN$16*'Прогноз цен'!$E$34</f>
        <v>290.40000000000003</v>
      </c>
      <c r="AS16" s="103">
        <f>$AN$16*'Прогноз цен'!$E$34</f>
        <v>290.40000000000003</v>
      </c>
      <c r="AT16" s="103">
        <f>$AN$16*'Прогноз цен'!$E$34</f>
        <v>290.40000000000003</v>
      </c>
      <c r="AU16" s="103">
        <f>$AN$16*'Прогноз цен'!$E$34</f>
        <v>290.40000000000003</v>
      </c>
      <c r="AV16" s="103">
        <f>$AN$16*'Прогноз цен'!$E$34</f>
        <v>290.40000000000003</v>
      </c>
      <c r="AW16" s="103">
        <f>$AN$16*'Прогноз цен'!$E$34</f>
        <v>290.40000000000003</v>
      </c>
      <c r="AX16" s="103">
        <f>$AN$16*'Прогноз цен'!$E$34</f>
        <v>290.40000000000003</v>
      </c>
      <c r="AY16" s="103">
        <f>$AN$16*'Прогноз цен'!$E$34</f>
        <v>290.40000000000003</v>
      </c>
      <c r="AZ16" s="103">
        <f>$AN$16*'Прогноз цен'!$E$34</f>
        <v>290.40000000000003</v>
      </c>
      <c r="BA16" s="103">
        <f>$AZ$16*'Прогноз цен'!$F$34</f>
        <v>319.44000000000005</v>
      </c>
      <c r="BB16" s="103">
        <f>$AZ$16*'Прогноз цен'!$F$34</f>
        <v>319.44000000000005</v>
      </c>
      <c r="BC16" s="103">
        <f>$AZ$16*'Прогноз цен'!$F$34</f>
        <v>319.44000000000005</v>
      </c>
      <c r="BD16" s="103">
        <f>$AZ$16*'Прогноз цен'!$F$34</f>
        <v>319.44000000000005</v>
      </c>
      <c r="BE16" s="103">
        <f>$AZ$16*'Прогноз цен'!$F$34</f>
        <v>319.44000000000005</v>
      </c>
      <c r="BF16" s="103">
        <f>$AZ$16*'Прогноз цен'!$F$34</f>
        <v>319.44000000000005</v>
      </c>
      <c r="BG16" s="103">
        <f>$AZ$16*'Прогноз цен'!$F$34</f>
        <v>319.44000000000005</v>
      </c>
      <c r="BH16" s="103">
        <f>$AZ$16*'Прогноз цен'!$F$34</f>
        <v>319.44000000000005</v>
      </c>
      <c r="BI16" s="103">
        <f>$AZ$16*'Прогноз цен'!$F$34</f>
        <v>319.44000000000005</v>
      </c>
      <c r="BJ16" s="103">
        <f>$AZ$16*'Прогноз цен'!$F$34</f>
        <v>319.44000000000005</v>
      </c>
      <c r="BK16" s="103">
        <f>$AZ$16*'Прогноз цен'!$F$34</f>
        <v>319.44000000000005</v>
      </c>
      <c r="BL16" s="103">
        <f>$AZ$16*'Прогноз цен'!$F$34</f>
        <v>319.44000000000005</v>
      </c>
      <c r="BM16" s="103">
        <f>$BL$16*'Прогноз цен'!$G$34</f>
        <v>351.38400000000007</v>
      </c>
      <c r="BN16" s="103">
        <f>$BL$16*'Прогноз цен'!$G$34</f>
        <v>351.38400000000007</v>
      </c>
      <c r="BO16" s="103">
        <f>$BL$16*'Прогноз цен'!$G$34</f>
        <v>351.38400000000007</v>
      </c>
      <c r="BP16" s="103">
        <f>$BL$16*'Прогноз цен'!$G$34</f>
        <v>351.38400000000007</v>
      </c>
      <c r="BQ16" s="103">
        <f>$BL$16*'Прогноз цен'!$G$34</f>
        <v>351.38400000000007</v>
      </c>
      <c r="BR16" s="103">
        <f>$BL$16*'Прогноз цен'!$G$34</f>
        <v>351.38400000000007</v>
      </c>
      <c r="BS16" s="103">
        <f>$BL$16*'Прогноз цен'!$G$34</f>
        <v>351.38400000000007</v>
      </c>
      <c r="BT16" s="103">
        <f>$BL$16*'Прогноз цен'!$G$34</f>
        <v>351.38400000000007</v>
      </c>
      <c r="BU16" s="103">
        <f>$BL$16*'Прогноз цен'!$G$34</f>
        <v>351.38400000000007</v>
      </c>
      <c r="BV16" s="103">
        <f>$BL$16*'Прогноз цен'!$G$34</f>
        <v>351.38400000000007</v>
      </c>
      <c r="BW16" s="103">
        <f>$BL$16*'Прогноз цен'!$G$34</f>
        <v>351.38400000000007</v>
      </c>
      <c r="BX16" s="103">
        <f>$BL$16*'Прогноз цен'!$G$34</f>
        <v>351.38400000000007</v>
      </c>
      <c r="BY16" s="103">
        <f>$BX$16*'Прогноз цен'!$H$34</f>
        <v>386.52240000000012</v>
      </c>
      <c r="BZ16" s="103">
        <f>$BX$16*'Прогноз цен'!$H$34</f>
        <v>386.52240000000012</v>
      </c>
      <c r="CA16" s="103">
        <f>$BX$16*'Прогноз цен'!$H$34</f>
        <v>386.52240000000012</v>
      </c>
      <c r="CB16" s="103">
        <f>$BX$16*'Прогноз цен'!$H$34</f>
        <v>386.52240000000012</v>
      </c>
      <c r="CC16" s="103">
        <f>$BX$16*'Прогноз цен'!$H$34</f>
        <v>386.52240000000012</v>
      </c>
      <c r="CD16" s="103">
        <f>$BX$16*'Прогноз цен'!$H$34</f>
        <v>386.52240000000012</v>
      </c>
      <c r="CE16" s="103">
        <f>$BX$16*'Прогноз цен'!$H$34</f>
        <v>386.52240000000012</v>
      </c>
      <c r="CF16" s="103">
        <f>$BX$16*'Прогноз цен'!$H$34</f>
        <v>386.52240000000012</v>
      </c>
      <c r="CG16" s="103">
        <f>$BX$16*'Прогноз цен'!$H$34</f>
        <v>386.52240000000012</v>
      </c>
      <c r="CH16" s="103">
        <f>$BX$16*'Прогноз цен'!$H$34</f>
        <v>386.52240000000012</v>
      </c>
      <c r="CI16" s="103">
        <f>$BX$16*'Прогноз цен'!$H$34</f>
        <v>386.52240000000012</v>
      </c>
      <c r="CJ16" s="103">
        <f>$BX$16*'Прогноз цен'!$H$34</f>
        <v>386.52240000000012</v>
      </c>
      <c r="CK16" s="103">
        <f>$CJ$16*'Прогноз цен'!$I$34</f>
        <v>425.17464000000018</v>
      </c>
      <c r="CL16" s="103">
        <f>$CJ$16*'Прогноз цен'!$I$34</f>
        <v>425.17464000000018</v>
      </c>
      <c r="CM16" s="103">
        <f>$CJ$16*'Прогноз цен'!$I$34</f>
        <v>425.17464000000018</v>
      </c>
      <c r="CN16" s="103">
        <f>$CJ$16*'Прогноз цен'!$I$34</f>
        <v>425.17464000000018</v>
      </c>
      <c r="CO16" s="103">
        <f>$CJ$16*'Прогноз цен'!$I$34</f>
        <v>425.17464000000018</v>
      </c>
      <c r="CP16" s="103">
        <f>$CJ$16*'Прогноз цен'!$I$34</f>
        <v>425.17464000000018</v>
      </c>
      <c r="CQ16" s="103">
        <f>$CJ$16*'Прогноз цен'!$I$34</f>
        <v>425.17464000000018</v>
      </c>
      <c r="CR16" s="103">
        <f>$CJ$16*'Прогноз цен'!$I$34</f>
        <v>425.17464000000018</v>
      </c>
      <c r="CS16" s="103">
        <f>$CJ$16*'Прогноз цен'!$I$34</f>
        <v>425.17464000000018</v>
      </c>
      <c r="CT16" s="103">
        <f>$CJ$16*'Прогноз цен'!$I$34</f>
        <v>425.17464000000018</v>
      </c>
      <c r="CU16" s="103">
        <f>$CJ$16*'Прогноз цен'!$I$34</f>
        <v>425.17464000000018</v>
      </c>
      <c r="CV16" s="103">
        <f>$CJ$16*'Прогноз цен'!$I$34</f>
        <v>425.17464000000018</v>
      </c>
      <c r="CW16" s="103">
        <f>$CV$16*'Прогноз цен'!$J$34</f>
        <v>467.69210400000026</v>
      </c>
      <c r="CX16" s="103">
        <f>$CV$16*'Прогноз цен'!$J$34</f>
        <v>467.69210400000026</v>
      </c>
      <c r="CY16" s="103">
        <f>$CV$16*'Прогноз цен'!$J$34</f>
        <v>467.69210400000026</v>
      </c>
      <c r="CZ16" s="103">
        <f>$CV$16*'Прогноз цен'!$J$34</f>
        <v>467.69210400000026</v>
      </c>
      <c r="DA16" s="103">
        <f>$CV$16*'Прогноз цен'!$J$34</f>
        <v>467.69210400000026</v>
      </c>
      <c r="DB16" s="103">
        <f>$CV$16*'Прогноз цен'!$J$34</f>
        <v>467.69210400000026</v>
      </c>
      <c r="DC16" s="103">
        <f>$CV$16*'Прогноз цен'!$J$34</f>
        <v>467.69210400000026</v>
      </c>
      <c r="DD16" s="103">
        <f>$CV$16*'Прогноз цен'!$J$34</f>
        <v>467.69210400000026</v>
      </c>
      <c r="DE16" s="103">
        <f>$CV$16*'Прогноз цен'!$J$34</f>
        <v>467.69210400000026</v>
      </c>
      <c r="DF16" s="103">
        <f>$CV$16*'Прогноз цен'!$J$34</f>
        <v>467.69210400000026</v>
      </c>
      <c r="DG16" s="103">
        <f>$CV$16*'Прогноз цен'!$J$34</f>
        <v>467.69210400000026</v>
      </c>
      <c r="DH16" s="103">
        <f>$CV$16*'Прогноз цен'!$J$34</f>
        <v>467.69210400000026</v>
      </c>
      <c r="DI16" s="103">
        <f>$DH$16*'Прогноз цен'!$K$34</f>
        <v>514.46131440000033</v>
      </c>
      <c r="DJ16" s="103">
        <f>$DH$16*'Прогноз цен'!$K$34</f>
        <v>514.46131440000033</v>
      </c>
      <c r="DK16" s="103">
        <f>$DH$16*'Прогноз цен'!$K$34</f>
        <v>514.46131440000033</v>
      </c>
      <c r="DL16" s="103">
        <f>$DH$16*'Прогноз цен'!$K$34</f>
        <v>514.46131440000033</v>
      </c>
      <c r="DM16" s="103">
        <f>$DH$16*'Прогноз цен'!$K$34</f>
        <v>514.46131440000033</v>
      </c>
      <c r="DN16" s="103">
        <f>$DH$16*'Прогноз цен'!$K$34</f>
        <v>514.46131440000033</v>
      </c>
      <c r="DO16" s="103">
        <f>$DH$16*'Прогноз цен'!$K$34</f>
        <v>514.46131440000033</v>
      </c>
      <c r="DP16" s="103">
        <f>$DH$16*'Прогноз цен'!$K$34</f>
        <v>514.46131440000033</v>
      </c>
      <c r="DQ16" s="103">
        <f>$DH$16*'Прогноз цен'!$K$34</f>
        <v>514.46131440000033</v>
      </c>
      <c r="DR16" s="103">
        <f>$DH$16*'Прогноз цен'!$K$34</f>
        <v>514.46131440000033</v>
      </c>
      <c r="DS16" s="103">
        <f>$DH$16*'Прогноз цен'!$K$34</f>
        <v>514.46131440000033</v>
      </c>
      <c r="DT16" s="103">
        <f>$DH$16*'Прогноз цен'!$K$34</f>
        <v>514.46131440000033</v>
      </c>
    </row>
    <row r="17" spans="1:124" s="64" customFormat="1" ht="12.75" customHeight="1">
      <c r="A17" s="101" t="s">
        <v>289</v>
      </c>
      <c r="B17" s="102" t="s">
        <v>283</v>
      </c>
      <c r="C17" s="224">
        <v>2</v>
      </c>
      <c r="D17" s="223">
        <v>63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f>$D$17*Исх.данные!$B$100*'Прогноз цен'!$B$34</f>
        <v>63</v>
      </c>
      <c r="P17" s="103">
        <f>$D$17*Исх.данные!$B$100*'Прогноз цен'!$B$34</f>
        <v>63</v>
      </c>
      <c r="Q17" s="103">
        <f>$D$17*Исх.данные!$B$100*'Прогноз цен'!$C$34</f>
        <v>63</v>
      </c>
      <c r="R17" s="103">
        <f>$D$17*Исх.данные!$B$100*'Прогноз цен'!$C$34</f>
        <v>63</v>
      </c>
      <c r="S17" s="103">
        <f>$D$17*Исх.данные!$B$100*'Прогноз цен'!$C$34</f>
        <v>63</v>
      </c>
      <c r="T17" s="103">
        <f>$D$17*Исх.данные!$B$100*'Прогноз цен'!$C$34</f>
        <v>63</v>
      </c>
      <c r="U17" s="103">
        <f>$D$17*Исх.данные!$B$100*'Прогноз цен'!$C$34</f>
        <v>63</v>
      </c>
      <c r="V17" s="103">
        <f>$D$17*Исх.данные!$B$100*'Прогноз цен'!$C$34</f>
        <v>63</v>
      </c>
      <c r="W17" s="103">
        <f>$D$17*Исх.данные!$B$100*'Прогноз цен'!$C$34</f>
        <v>63</v>
      </c>
      <c r="X17" s="103">
        <f>$D$17*Исх.данные!$B$100*'Прогноз цен'!$C$34</f>
        <v>63</v>
      </c>
      <c r="Y17" s="103">
        <f>$D$17*Исх.данные!$B$100*'Прогноз цен'!$C$34</f>
        <v>63</v>
      </c>
      <c r="Z17" s="103">
        <f>$D$17*Исх.данные!$B$100*'Прогноз цен'!$C$34</f>
        <v>63</v>
      </c>
      <c r="AA17" s="103">
        <f>$D$17*Исх.данные!$B$100*'Прогноз цен'!$C$34</f>
        <v>63</v>
      </c>
      <c r="AB17" s="103">
        <f>D17*Исх.данные!C100*'Прогноз цен'!$C$34</f>
        <v>126</v>
      </c>
      <c r="AC17" s="103">
        <f>$AB$17*'Прогноз цен'!$D$34</f>
        <v>138.60000000000002</v>
      </c>
      <c r="AD17" s="103">
        <f>$AB$17*'Прогноз цен'!$D$34</f>
        <v>138.60000000000002</v>
      </c>
      <c r="AE17" s="103">
        <f>$AB$17*'Прогноз цен'!$D$34</f>
        <v>138.60000000000002</v>
      </c>
      <c r="AF17" s="103">
        <f>$AB$17*'Прогноз цен'!$D$34</f>
        <v>138.60000000000002</v>
      </c>
      <c r="AG17" s="103">
        <f>$AB$17*'Прогноз цен'!$D$34</f>
        <v>138.60000000000002</v>
      </c>
      <c r="AH17" s="103">
        <f>$AB$17*'Прогноз цен'!$D$34</f>
        <v>138.60000000000002</v>
      </c>
      <c r="AI17" s="103">
        <f>$AB$17*'Прогноз цен'!$D$34</f>
        <v>138.60000000000002</v>
      </c>
      <c r="AJ17" s="103">
        <f>$AB$17*'Прогноз цен'!$D$34</f>
        <v>138.60000000000002</v>
      </c>
      <c r="AK17" s="103">
        <f>$AB$17*'Прогноз цен'!$D$34</f>
        <v>138.60000000000002</v>
      </c>
      <c r="AL17" s="103">
        <f>$AB$17*'Прогноз цен'!$D$34</f>
        <v>138.60000000000002</v>
      </c>
      <c r="AM17" s="103">
        <f>$AB$17*'Прогноз цен'!$D$34</f>
        <v>138.60000000000002</v>
      </c>
      <c r="AN17" s="103">
        <f>$AB$17*'Прогноз цен'!$D$34</f>
        <v>138.60000000000002</v>
      </c>
      <c r="AO17" s="103">
        <f>$AN$17*'Прогноз цен'!$E$34</f>
        <v>152.46000000000004</v>
      </c>
      <c r="AP17" s="103">
        <f>$AN$17*'Прогноз цен'!$E$34</f>
        <v>152.46000000000004</v>
      </c>
      <c r="AQ17" s="103">
        <f>$AN$17*'Прогноз цен'!$E$34</f>
        <v>152.46000000000004</v>
      </c>
      <c r="AR17" s="103">
        <f>$AN$17*'Прогноз цен'!$E$34</f>
        <v>152.46000000000004</v>
      </c>
      <c r="AS17" s="103">
        <f>$AN$17*'Прогноз цен'!$E$34</f>
        <v>152.46000000000004</v>
      </c>
      <c r="AT17" s="103">
        <f>$AN$17*'Прогноз цен'!$E$34</f>
        <v>152.46000000000004</v>
      </c>
      <c r="AU17" s="103">
        <f>$AN$17*'Прогноз цен'!$E$34</f>
        <v>152.46000000000004</v>
      </c>
      <c r="AV17" s="103">
        <f>$AN$17*'Прогноз цен'!$E$34</f>
        <v>152.46000000000004</v>
      </c>
      <c r="AW17" s="103">
        <f>$AN$17*'Прогноз цен'!$E$34</f>
        <v>152.46000000000004</v>
      </c>
      <c r="AX17" s="103">
        <f>$AN$17*'Прогноз цен'!$E$34</f>
        <v>152.46000000000004</v>
      </c>
      <c r="AY17" s="103">
        <f>$AN$17*'Прогноз цен'!$E$34</f>
        <v>152.46000000000004</v>
      </c>
      <c r="AZ17" s="103">
        <f>$AN$17*'Прогноз цен'!$E$34</f>
        <v>152.46000000000004</v>
      </c>
      <c r="BA17" s="103">
        <f>$AZ$17*'Прогноз цен'!$F$34</f>
        <v>167.70600000000005</v>
      </c>
      <c r="BB17" s="103">
        <f>$AZ$17*'Прогноз цен'!$F$34</f>
        <v>167.70600000000005</v>
      </c>
      <c r="BC17" s="103">
        <f>$AZ$17*'Прогноз цен'!$F$34</f>
        <v>167.70600000000005</v>
      </c>
      <c r="BD17" s="103">
        <f>$AZ$17*'Прогноз цен'!$F$34</f>
        <v>167.70600000000005</v>
      </c>
      <c r="BE17" s="103">
        <f>$AZ$17*'Прогноз цен'!$F$34</f>
        <v>167.70600000000005</v>
      </c>
      <c r="BF17" s="103">
        <f>$AZ$17*'Прогноз цен'!$F$34</f>
        <v>167.70600000000005</v>
      </c>
      <c r="BG17" s="103">
        <f>$AZ$17*'Прогноз цен'!$F$34</f>
        <v>167.70600000000005</v>
      </c>
      <c r="BH17" s="103">
        <f>$AZ$17*'Прогноз цен'!$F$34</f>
        <v>167.70600000000005</v>
      </c>
      <c r="BI17" s="103">
        <f>$AZ$17*'Прогноз цен'!$F$34</f>
        <v>167.70600000000005</v>
      </c>
      <c r="BJ17" s="103">
        <f>$AZ$17*'Прогноз цен'!$F$34</f>
        <v>167.70600000000005</v>
      </c>
      <c r="BK17" s="103">
        <f>$AZ$17*'Прогноз цен'!$F$34</f>
        <v>167.70600000000005</v>
      </c>
      <c r="BL17" s="103">
        <f>$AZ$17*'Прогноз цен'!$F$34</f>
        <v>167.70600000000005</v>
      </c>
      <c r="BM17" s="103">
        <f>$BL$17*'Прогноз цен'!$G$34</f>
        <v>184.47660000000008</v>
      </c>
      <c r="BN17" s="103">
        <f>$BL$17*'Прогноз цен'!$G$34</f>
        <v>184.47660000000008</v>
      </c>
      <c r="BO17" s="103">
        <f>$BL$17*'Прогноз цен'!$G$34</f>
        <v>184.47660000000008</v>
      </c>
      <c r="BP17" s="103">
        <f>$BL$17*'Прогноз цен'!$G$34</f>
        <v>184.47660000000008</v>
      </c>
      <c r="BQ17" s="103">
        <f>$BL$17*'Прогноз цен'!$G$34</f>
        <v>184.47660000000008</v>
      </c>
      <c r="BR17" s="103">
        <f>$BL$17*'Прогноз цен'!$G$34</f>
        <v>184.47660000000008</v>
      </c>
      <c r="BS17" s="103">
        <f>$BL$17*'Прогноз цен'!$G$34</f>
        <v>184.47660000000008</v>
      </c>
      <c r="BT17" s="103">
        <f>$BL$17*'Прогноз цен'!$G$34</f>
        <v>184.47660000000008</v>
      </c>
      <c r="BU17" s="103">
        <f>$BL$17*'Прогноз цен'!$G$34</f>
        <v>184.47660000000008</v>
      </c>
      <c r="BV17" s="103">
        <f>$BL$17*'Прогноз цен'!$G$34</f>
        <v>184.47660000000008</v>
      </c>
      <c r="BW17" s="103">
        <f>$BL$17*'Прогноз цен'!$G$34</f>
        <v>184.47660000000008</v>
      </c>
      <c r="BX17" s="103">
        <f>$BL$17*'Прогноз цен'!$G$34</f>
        <v>184.47660000000008</v>
      </c>
      <c r="BY17" s="103">
        <f>$BX$17*'Прогноз цен'!$H$34</f>
        <v>202.92426000000009</v>
      </c>
      <c r="BZ17" s="103">
        <f>$BX$17*'Прогноз цен'!$H$34</f>
        <v>202.92426000000009</v>
      </c>
      <c r="CA17" s="103">
        <f>$BX$17*'Прогноз цен'!$H$34</f>
        <v>202.92426000000009</v>
      </c>
      <c r="CB17" s="103">
        <f>$BX$17*'Прогноз цен'!$H$34</f>
        <v>202.92426000000009</v>
      </c>
      <c r="CC17" s="103">
        <f>$BX$17*'Прогноз цен'!$H$34</f>
        <v>202.92426000000009</v>
      </c>
      <c r="CD17" s="103">
        <f>$BX$17*'Прогноз цен'!$H$34</f>
        <v>202.92426000000009</v>
      </c>
      <c r="CE17" s="103">
        <f>$BX$17*'Прогноз цен'!$H$34</f>
        <v>202.92426000000009</v>
      </c>
      <c r="CF17" s="103">
        <f>$BX$17*'Прогноз цен'!$H$34</f>
        <v>202.92426000000009</v>
      </c>
      <c r="CG17" s="103">
        <f>$BX$17*'Прогноз цен'!$H$34</f>
        <v>202.92426000000009</v>
      </c>
      <c r="CH17" s="103">
        <f>$BX$17*'Прогноз цен'!$H$34</f>
        <v>202.92426000000009</v>
      </c>
      <c r="CI17" s="103">
        <f>$BX$17*'Прогноз цен'!$H$34</f>
        <v>202.92426000000009</v>
      </c>
      <c r="CJ17" s="103">
        <f>$BX$17*'Прогноз цен'!$H$34</f>
        <v>202.92426000000009</v>
      </c>
      <c r="CK17" s="103">
        <f>$CJ$17*'Прогноз цен'!$I$34</f>
        <v>223.21668600000012</v>
      </c>
      <c r="CL17" s="103">
        <f>$CJ$17*'Прогноз цен'!$I$34</f>
        <v>223.21668600000012</v>
      </c>
      <c r="CM17" s="103">
        <f>$CJ$17*'Прогноз цен'!$I$34</f>
        <v>223.21668600000012</v>
      </c>
      <c r="CN17" s="103">
        <f>$CJ$17*'Прогноз цен'!$I$34</f>
        <v>223.21668600000012</v>
      </c>
      <c r="CO17" s="103">
        <f>$CJ$17*'Прогноз цен'!$I$34</f>
        <v>223.21668600000012</v>
      </c>
      <c r="CP17" s="103">
        <f>$CJ$17*'Прогноз цен'!$I$34</f>
        <v>223.21668600000012</v>
      </c>
      <c r="CQ17" s="103">
        <f>$CJ$17*'Прогноз цен'!$I$34</f>
        <v>223.21668600000012</v>
      </c>
      <c r="CR17" s="103">
        <f>$CJ$17*'Прогноз цен'!$I$34</f>
        <v>223.21668600000012</v>
      </c>
      <c r="CS17" s="103">
        <f>$CJ$17*'Прогноз цен'!$I$34</f>
        <v>223.21668600000012</v>
      </c>
      <c r="CT17" s="103">
        <f>$CJ$17*'Прогноз цен'!$I$34</f>
        <v>223.21668600000012</v>
      </c>
      <c r="CU17" s="103">
        <f>$CJ$17*'Прогноз цен'!$I$34</f>
        <v>223.21668600000012</v>
      </c>
      <c r="CV17" s="103">
        <f>$CJ$17*'Прогноз цен'!$I$34</f>
        <v>223.21668600000012</v>
      </c>
      <c r="CW17" s="103">
        <f>$CV$17*'Прогноз цен'!$J$34</f>
        <v>245.53835460000016</v>
      </c>
      <c r="CX17" s="103">
        <f>$CV$17*'Прогноз цен'!$J$34</f>
        <v>245.53835460000016</v>
      </c>
      <c r="CY17" s="103">
        <f>$CV$17*'Прогноз цен'!$J$34</f>
        <v>245.53835460000016</v>
      </c>
      <c r="CZ17" s="103">
        <f>$CV$17*'Прогноз цен'!$J$34</f>
        <v>245.53835460000016</v>
      </c>
      <c r="DA17" s="103">
        <f>$CV$17*'Прогноз цен'!$J$34</f>
        <v>245.53835460000016</v>
      </c>
      <c r="DB17" s="103">
        <f>$CV$17*'Прогноз цен'!$J$34</f>
        <v>245.53835460000016</v>
      </c>
      <c r="DC17" s="103">
        <f>$CV$17*'Прогноз цен'!$J$34</f>
        <v>245.53835460000016</v>
      </c>
      <c r="DD17" s="103">
        <f>$CV$17*'Прогноз цен'!$J$34</f>
        <v>245.53835460000016</v>
      </c>
      <c r="DE17" s="103">
        <f>$CV$17*'Прогноз цен'!$J$34</f>
        <v>245.53835460000016</v>
      </c>
      <c r="DF17" s="103">
        <f>$CV$17*'Прогноз цен'!$J$34</f>
        <v>245.53835460000016</v>
      </c>
      <c r="DG17" s="103">
        <f>$CV$17*'Прогноз цен'!$J$34</f>
        <v>245.53835460000016</v>
      </c>
      <c r="DH17" s="103">
        <f>$CV$17*'Прогноз цен'!$J$34</f>
        <v>245.53835460000016</v>
      </c>
      <c r="DI17" s="103">
        <f>$DH$17*'Прогноз цен'!$K$34</f>
        <v>270.09219006000018</v>
      </c>
      <c r="DJ17" s="103">
        <f>$DH$17*'Прогноз цен'!$K$34</f>
        <v>270.09219006000018</v>
      </c>
      <c r="DK17" s="103">
        <f>$DH$17*'Прогноз цен'!$K$34</f>
        <v>270.09219006000018</v>
      </c>
      <c r="DL17" s="103">
        <f>$DH$17*'Прогноз цен'!$K$34</f>
        <v>270.09219006000018</v>
      </c>
      <c r="DM17" s="103">
        <f>$DH$17*'Прогноз цен'!$K$34</f>
        <v>270.09219006000018</v>
      </c>
      <c r="DN17" s="103">
        <f>$DH$17*'Прогноз цен'!$K$34</f>
        <v>270.09219006000018</v>
      </c>
      <c r="DO17" s="103">
        <f>$DH$17*'Прогноз цен'!$K$34</f>
        <v>270.09219006000018</v>
      </c>
      <c r="DP17" s="103">
        <f>$DH$17*'Прогноз цен'!$K$34</f>
        <v>270.09219006000018</v>
      </c>
      <c r="DQ17" s="103">
        <f>$DH$17*'Прогноз цен'!$K$34</f>
        <v>270.09219006000018</v>
      </c>
      <c r="DR17" s="103">
        <f>$DH$17*'Прогноз цен'!$K$34</f>
        <v>270.09219006000018</v>
      </c>
      <c r="DS17" s="103">
        <f>$DH$17*'Прогноз цен'!$K$34</f>
        <v>270.09219006000018</v>
      </c>
      <c r="DT17" s="103">
        <f>$DH$17*'Прогноз цен'!$K$34</f>
        <v>270.09219006000018</v>
      </c>
    </row>
    <row r="18" spans="1:124" s="64" customFormat="1" ht="12.75" customHeight="1">
      <c r="A18" s="101" t="s">
        <v>290</v>
      </c>
      <c r="B18" s="102" t="s">
        <v>284</v>
      </c>
      <c r="C18" s="224">
        <v>2</v>
      </c>
      <c r="D18" s="223">
        <v>63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f>$D$18*Исх.данные!$B$101*'Прогноз цен'!$B$34</f>
        <v>63</v>
      </c>
      <c r="P18" s="103">
        <f>$D$18*Исх.данные!$B$101*'Прогноз цен'!$B$34</f>
        <v>63</v>
      </c>
      <c r="Q18" s="103">
        <f>$D$18*Исх.данные!$B$101*'Прогноз цен'!$C$34</f>
        <v>63</v>
      </c>
      <c r="R18" s="103">
        <f>$D$18*Исх.данные!$B$101*'Прогноз цен'!$C$34</f>
        <v>63</v>
      </c>
      <c r="S18" s="103">
        <f>$D$18*Исх.данные!$B$101*'Прогноз цен'!$C$34</f>
        <v>63</v>
      </c>
      <c r="T18" s="103">
        <f>$D$18*Исх.данные!$B$101*'Прогноз цен'!$C$34</f>
        <v>63</v>
      </c>
      <c r="U18" s="103">
        <f>$D$18*Исх.данные!$B$101*'Прогноз цен'!$C$34</f>
        <v>63</v>
      </c>
      <c r="V18" s="103">
        <f>$D$18*Исх.данные!$B$101*'Прогноз цен'!$C$34</f>
        <v>63</v>
      </c>
      <c r="W18" s="103">
        <f>$D$18*Исх.данные!$B$101*'Прогноз цен'!$C$34</f>
        <v>63</v>
      </c>
      <c r="X18" s="103">
        <f>$D$18*Исх.данные!$B$101*'Прогноз цен'!$C$34</f>
        <v>63</v>
      </c>
      <c r="Y18" s="103">
        <f>$D$18*Исх.данные!$B$101*'Прогноз цен'!$C$34</f>
        <v>63</v>
      </c>
      <c r="Z18" s="103">
        <f>$D$18*Исх.данные!$B$101*'Прогноз цен'!$C$34</f>
        <v>63</v>
      </c>
      <c r="AA18" s="103">
        <f>$D$18*Исх.данные!$B$101*'Прогноз цен'!$C$34</f>
        <v>63</v>
      </c>
      <c r="AB18" s="103">
        <f>D18*Исх.данные!C101*'Прогноз цен'!$C$34</f>
        <v>126</v>
      </c>
      <c r="AC18" s="103">
        <f>$AB$18*'Прогноз цен'!$D$34</f>
        <v>138.60000000000002</v>
      </c>
      <c r="AD18" s="103">
        <f>$AB$18*'Прогноз цен'!$D$34</f>
        <v>138.60000000000002</v>
      </c>
      <c r="AE18" s="103">
        <f>$AB$18*'Прогноз цен'!$D$34</f>
        <v>138.60000000000002</v>
      </c>
      <c r="AF18" s="103">
        <f>$AB$18*'Прогноз цен'!$D$34</f>
        <v>138.60000000000002</v>
      </c>
      <c r="AG18" s="103">
        <f>$AB$18*'Прогноз цен'!$D$34</f>
        <v>138.60000000000002</v>
      </c>
      <c r="AH18" s="103">
        <f>$AB$18*'Прогноз цен'!$D$34</f>
        <v>138.60000000000002</v>
      </c>
      <c r="AI18" s="103">
        <f>$AB$18*'Прогноз цен'!$D$34</f>
        <v>138.60000000000002</v>
      </c>
      <c r="AJ18" s="103">
        <f>$AB$18*'Прогноз цен'!$D$34</f>
        <v>138.60000000000002</v>
      </c>
      <c r="AK18" s="103">
        <f>$AB$18*'Прогноз цен'!$D$34</f>
        <v>138.60000000000002</v>
      </c>
      <c r="AL18" s="103">
        <f>$AB$18*'Прогноз цен'!$D$34</f>
        <v>138.60000000000002</v>
      </c>
      <c r="AM18" s="103">
        <f>$AB$18*'Прогноз цен'!$D$34</f>
        <v>138.60000000000002</v>
      </c>
      <c r="AN18" s="103">
        <f>$AB$18*'Прогноз цен'!$D$34</f>
        <v>138.60000000000002</v>
      </c>
      <c r="AO18" s="103">
        <f>$AN$18*'Прогноз цен'!$E$34</f>
        <v>152.46000000000004</v>
      </c>
      <c r="AP18" s="103">
        <f>$AN$18*'Прогноз цен'!$E$34</f>
        <v>152.46000000000004</v>
      </c>
      <c r="AQ18" s="103">
        <f>$AN$18*'Прогноз цен'!$E$34</f>
        <v>152.46000000000004</v>
      </c>
      <c r="AR18" s="103">
        <f>$AN$18*'Прогноз цен'!$E$34</f>
        <v>152.46000000000004</v>
      </c>
      <c r="AS18" s="103">
        <f>$AN$18*'Прогноз цен'!$E$34</f>
        <v>152.46000000000004</v>
      </c>
      <c r="AT18" s="103">
        <f>$AN$18*'Прогноз цен'!$E$34</f>
        <v>152.46000000000004</v>
      </c>
      <c r="AU18" s="103">
        <f>$AN$18*'Прогноз цен'!$E$34</f>
        <v>152.46000000000004</v>
      </c>
      <c r="AV18" s="103">
        <f>$AN$18*'Прогноз цен'!$E$34</f>
        <v>152.46000000000004</v>
      </c>
      <c r="AW18" s="103">
        <f>$AN$18*'Прогноз цен'!$E$34</f>
        <v>152.46000000000004</v>
      </c>
      <c r="AX18" s="103">
        <f>$AN$18*'Прогноз цен'!$E$34</f>
        <v>152.46000000000004</v>
      </c>
      <c r="AY18" s="103">
        <f>$AN$18*'Прогноз цен'!$E$34</f>
        <v>152.46000000000004</v>
      </c>
      <c r="AZ18" s="103">
        <f>$AN$18*'Прогноз цен'!$E$34</f>
        <v>152.46000000000004</v>
      </c>
      <c r="BA18" s="103">
        <f>$AZ$18*'Прогноз цен'!$F$34</f>
        <v>167.70600000000005</v>
      </c>
      <c r="BB18" s="103">
        <f>$AZ$18*'Прогноз цен'!$F$34</f>
        <v>167.70600000000005</v>
      </c>
      <c r="BC18" s="103">
        <f>$AZ$18*'Прогноз цен'!$F$34</f>
        <v>167.70600000000005</v>
      </c>
      <c r="BD18" s="103">
        <f>$AZ$18*'Прогноз цен'!$F$34</f>
        <v>167.70600000000005</v>
      </c>
      <c r="BE18" s="103">
        <f>$AZ$18*'Прогноз цен'!$F$34</f>
        <v>167.70600000000005</v>
      </c>
      <c r="BF18" s="103">
        <f>$AZ$18*'Прогноз цен'!$F$34</f>
        <v>167.70600000000005</v>
      </c>
      <c r="BG18" s="103">
        <f>$AZ$18*'Прогноз цен'!$F$34</f>
        <v>167.70600000000005</v>
      </c>
      <c r="BH18" s="103">
        <f>$AZ$18*'Прогноз цен'!$F$34</f>
        <v>167.70600000000005</v>
      </c>
      <c r="BI18" s="103">
        <f>$AZ$18*'Прогноз цен'!$F$34</f>
        <v>167.70600000000005</v>
      </c>
      <c r="BJ18" s="103">
        <f>$AZ$18*'Прогноз цен'!$F$34</f>
        <v>167.70600000000005</v>
      </c>
      <c r="BK18" s="103">
        <f>$AZ$18*'Прогноз цен'!$F$34</f>
        <v>167.70600000000005</v>
      </c>
      <c r="BL18" s="103">
        <f>$AZ$18*'Прогноз цен'!$F$34</f>
        <v>167.70600000000005</v>
      </c>
      <c r="BM18" s="103">
        <f>$BL$18*'Прогноз цен'!$G$34</f>
        <v>184.47660000000008</v>
      </c>
      <c r="BN18" s="103">
        <f>$BL$18*'Прогноз цен'!$G$34</f>
        <v>184.47660000000008</v>
      </c>
      <c r="BO18" s="103">
        <f>$BL$18*'Прогноз цен'!$G$34</f>
        <v>184.47660000000008</v>
      </c>
      <c r="BP18" s="103">
        <f>$BL$18*'Прогноз цен'!$G$34</f>
        <v>184.47660000000008</v>
      </c>
      <c r="BQ18" s="103">
        <f>$BL$18*'Прогноз цен'!$G$34</f>
        <v>184.47660000000008</v>
      </c>
      <c r="BR18" s="103">
        <f>$BL$18*'Прогноз цен'!$G$34</f>
        <v>184.47660000000008</v>
      </c>
      <c r="BS18" s="103">
        <f>$BL$18*'Прогноз цен'!$G$34</f>
        <v>184.47660000000008</v>
      </c>
      <c r="BT18" s="103">
        <f>$BL$18*'Прогноз цен'!$G$34</f>
        <v>184.47660000000008</v>
      </c>
      <c r="BU18" s="103">
        <f>$BL$18*'Прогноз цен'!$G$34</f>
        <v>184.47660000000008</v>
      </c>
      <c r="BV18" s="103">
        <f>$BL$18*'Прогноз цен'!$G$34</f>
        <v>184.47660000000008</v>
      </c>
      <c r="BW18" s="103">
        <f>$BL$18*'Прогноз цен'!$G$34</f>
        <v>184.47660000000008</v>
      </c>
      <c r="BX18" s="103">
        <f>$BL$18*'Прогноз цен'!$G$34</f>
        <v>184.47660000000008</v>
      </c>
      <c r="BY18" s="103">
        <f>$BX$18*'Прогноз цен'!$H$34</f>
        <v>202.92426000000009</v>
      </c>
      <c r="BZ18" s="103">
        <f>$BX$18*'Прогноз цен'!$H$34</f>
        <v>202.92426000000009</v>
      </c>
      <c r="CA18" s="103">
        <f>$BX$18*'Прогноз цен'!$H$34</f>
        <v>202.92426000000009</v>
      </c>
      <c r="CB18" s="103">
        <f>$BX$18*'Прогноз цен'!$H$34</f>
        <v>202.92426000000009</v>
      </c>
      <c r="CC18" s="103">
        <f>$BX$18*'Прогноз цен'!$H$34</f>
        <v>202.92426000000009</v>
      </c>
      <c r="CD18" s="103">
        <f>$BX$18*'Прогноз цен'!$H$34</f>
        <v>202.92426000000009</v>
      </c>
      <c r="CE18" s="103">
        <f>$BX$18*'Прогноз цен'!$H$34</f>
        <v>202.92426000000009</v>
      </c>
      <c r="CF18" s="103">
        <f>$BX$18*'Прогноз цен'!$H$34</f>
        <v>202.92426000000009</v>
      </c>
      <c r="CG18" s="103">
        <f>$BX$18*'Прогноз цен'!$H$34</f>
        <v>202.92426000000009</v>
      </c>
      <c r="CH18" s="103">
        <f>$BX$18*'Прогноз цен'!$H$34</f>
        <v>202.92426000000009</v>
      </c>
      <c r="CI18" s="103">
        <f>$BX$18*'Прогноз цен'!$H$34</f>
        <v>202.92426000000009</v>
      </c>
      <c r="CJ18" s="103">
        <f>$BX$18*'Прогноз цен'!$H$34</f>
        <v>202.92426000000009</v>
      </c>
      <c r="CK18" s="103">
        <f>$CJ$18*'Прогноз цен'!$I$34</f>
        <v>223.21668600000012</v>
      </c>
      <c r="CL18" s="103">
        <f>$CJ$18*'Прогноз цен'!$I$34</f>
        <v>223.21668600000012</v>
      </c>
      <c r="CM18" s="103">
        <f>$CJ$18*'Прогноз цен'!$I$34</f>
        <v>223.21668600000012</v>
      </c>
      <c r="CN18" s="103">
        <f>$CJ$18*'Прогноз цен'!$I$34</f>
        <v>223.21668600000012</v>
      </c>
      <c r="CO18" s="103">
        <f>$CJ$18*'Прогноз цен'!$I$34</f>
        <v>223.21668600000012</v>
      </c>
      <c r="CP18" s="103">
        <f>$CJ$18*'Прогноз цен'!$I$34</f>
        <v>223.21668600000012</v>
      </c>
      <c r="CQ18" s="103">
        <f>$CJ$18*'Прогноз цен'!$I$34</f>
        <v>223.21668600000012</v>
      </c>
      <c r="CR18" s="103">
        <f>$CJ$18*'Прогноз цен'!$I$34</f>
        <v>223.21668600000012</v>
      </c>
      <c r="CS18" s="103">
        <f>$CJ$18*'Прогноз цен'!$I$34</f>
        <v>223.21668600000012</v>
      </c>
      <c r="CT18" s="103">
        <f>$CJ$18*'Прогноз цен'!$I$34</f>
        <v>223.21668600000012</v>
      </c>
      <c r="CU18" s="103">
        <f>$CJ$18*'Прогноз цен'!$I$34</f>
        <v>223.21668600000012</v>
      </c>
      <c r="CV18" s="103">
        <f>$CJ$18*'Прогноз цен'!$I$34</f>
        <v>223.21668600000012</v>
      </c>
      <c r="CW18" s="103">
        <f>$CV$18*'Прогноз цен'!$J$34</f>
        <v>245.53835460000016</v>
      </c>
      <c r="CX18" s="103">
        <f>$CV$18*'Прогноз цен'!$J$34</f>
        <v>245.53835460000016</v>
      </c>
      <c r="CY18" s="103">
        <f>$CV$18*'Прогноз цен'!$J$34</f>
        <v>245.53835460000016</v>
      </c>
      <c r="CZ18" s="103">
        <f>$CV$18*'Прогноз цен'!$J$34</f>
        <v>245.53835460000016</v>
      </c>
      <c r="DA18" s="103">
        <f>$CV$18*'Прогноз цен'!$J$34</f>
        <v>245.53835460000016</v>
      </c>
      <c r="DB18" s="103">
        <f>$CV$18*'Прогноз цен'!$J$34</f>
        <v>245.53835460000016</v>
      </c>
      <c r="DC18" s="103">
        <f>$CV$18*'Прогноз цен'!$J$34</f>
        <v>245.53835460000016</v>
      </c>
      <c r="DD18" s="103">
        <f>$CV$18*'Прогноз цен'!$J$34</f>
        <v>245.53835460000016</v>
      </c>
      <c r="DE18" s="103">
        <f>$CV$18*'Прогноз цен'!$J$34</f>
        <v>245.53835460000016</v>
      </c>
      <c r="DF18" s="103">
        <f>$CV$18*'Прогноз цен'!$J$34</f>
        <v>245.53835460000016</v>
      </c>
      <c r="DG18" s="103">
        <f>$CV$18*'Прогноз цен'!$J$34</f>
        <v>245.53835460000016</v>
      </c>
      <c r="DH18" s="103">
        <f>$CV$18*'Прогноз цен'!$J$34</f>
        <v>245.53835460000016</v>
      </c>
      <c r="DI18" s="103">
        <f>$DH$18*'Прогноз цен'!$K$34</f>
        <v>270.09219006000018</v>
      </c>
      <c r="DJ18" s="103">
        <f>$DH$18*'Прогноз цен'!$K$34</f>
        <v>270.09219006000018</v>
      </c>
      <c r="DK18" s="103">
        <f>$DH$18*'Прогноз цен'!$K$34</f>
        <v>270.09219006000018</v>
      </c>
      <c r="DL18" s="103">
        <f>$DH$18*'Прогноз цен'!$K$34</f>
        <v>270.09219006000018</v>
      </c>
      <c r="DM18" s="103">
        <f>$DH$18*'Прогноз цен'!$K$34</f>
        <v>270.09219006000018</v>
      </c>
      <c r="DN18" s="103">
        <f>$DH$18*'Прогноз цен'!$K$34</f>
        <v>270.09219006000018</v>
      </c>
      <c r="DO18" s="103">
        <f>$DH$18*'Прогноз цен'!$K$34</f>
        <v>270.09219006000018</v>
      </c>
      <c r="DP18" s="103">
        <f>$DH$18*'Прогноз цен'!$K$34</f>
        <v>270.09219006000018</v>
      </c>
      <c r="DQ18" s="103">
        <f>$DH$18*'Прогноз цен'!$K$34</f>
        <v>270.09219006000018</v>
      </c>
      <c r="DR18" s="103">
        <f>$DH$18*'Прогноз цен'!$K$34</f>
        <v>270.09219006000018</v>
      </c>
      <c r="DS18" s="103">
        <f>$DH$18*'Прогноз цен'!$K$34</f>
        <v>270.09219006000018</v>
      </c>
      <c r="DT18" s="103">
        <f>$DH$18*'Прогноз цен'!$K$34</f>
        <v>270.09219006000018</v>
      </c>
    </row>
    <row r="19" spans="1:124" s="64" customFormat="1" ht="12.75" customHeight="1">
      <c r="A19" s="101" t="s">
        <v>291</v>
      </c>
      <c r="B19" s="102" t="s">
        <v>285</v>
      </c>
      <c r="C19" s="224">
        <v>3</v>
      </c>
      <c r="D19" s="223">
        <v>46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f>$D$19*Исх.данные!$B$102*'Прогноз цен'!$B$34</f>
        <v>46</v>
      </c>
      <c r="P19" s="103">
        <f>$D$19*Исх.данные!$B$102*'Прогноз цен'!$B$34</f>
        <v>46</v>
      </c>
      <c r="Q19" s="103">
        <f>$D$19*Исх.данные!$B$102*'Прогноз цен'!$C$34</f>
        <v>46</v>
      </c>
      <c r="R19" s="103">
        <f>$D$19*Исх.данные!$B$102*'Прогноз цен'!$C$34</f>
        <v>46</v>
      </c>
      <c r="S19" s="103">
        <f>$D$19*Исх.данные!$B$102*'Прогноз цен'!$C$34</f>
        <v>46</v>
      </c>
      <c r="T19" s="103">
        <f>$D$19*Исх.данные!$B$102*'Прогноз цен'!$C$34</f>
        <v>46</v>
      </c>
      <c r="U19" s="103">
        <f>$D$19*Исх.данные!$B$102*'Прогноз цен'!$C$34</f>
        <v>46</v>
      </c>
      <c r="V19" s="103">
        <f>$D$19*Исх.данные!$B$102*'Прогноз цен'!$C$34</f>
        <v>46</v>
      </c>
      <c r="W19" s="103">
        <f>$D$19*Исх.данные!$B$102*'Прогноз цен'!$C$34</f>
        <v>46</v>
      </c>
      <c r="X19" s="103">
        <f>$D$19*Исх.данные!$B$102*'Прогноз цен'!$C$34</f>
        <v>46</v>
      </c>
      <c r="Y19" s="103">
        <f>$D$19*Исх.данные!$B$102*'Прогноз цен'!$C$34</f>
        <v>46</v>
      </c>
      <c r="Z19" s="103">
        <f>$D$19*Исх.данные!$B$102*'Прогноз цен'!$C$34</f>
        <v>46</v>
      </c>
      <c r="AA19" s="103">
        <f>$D$19*Исх.данные!$B$102*'Прогноз цен'!$C$34</f>
        <v>46</v>
      </c>
      <c r="AB19" s="103">
        <f>D19*Исх.данные!C102*'Прогноз цен'!$C$34</f>
        <v>138</v>
      </c>
      <c r="AC19" s="103">
        <f>$AB$19*'Прогноз цен'!$D$34</f>
        <v>151.80000000000001</v>
      </c>
      <c r="AD19" s="103">
        <f>$AB$19*'Прогноз цен'!$D$34</f>
        <v>151.80000000000001</v>
      </c>
      <c r="AE19" s="103">
        <f>$AB$19*'Прогноз цен'!$D$34</f>
        <v>151.80000000000001</v>
      </c>
      <c r="AF19" s="103">
        <f>$AB$19*'Прогноз цен'!$D$34</f>
        <v>151.80000000000001</v>
      </c>
      <c r="AG19" s="103">
        <f>$AB$19*'Прогноз цен'!$D$34</f>
        <v>151.80000000000001</v>
      </c>
      <c r="AH19" s="103">
        <f>$AB$19*'Прогноз цен'!$D$34</f>
        <v>151.80000000000001</v>
      </c>
      <c r="AI19" s="103">
        <f>$AB$19*'Прогноз цен'!$D$34</f>
        <v>151.80000000000001</v>
      </c>
      <c r="AJ19" s="103">
        <f>$AB$19*'Прогноз цен'!$D$34</f>
        <v>151.80000000000001</v>
      </c>
      <c r="AK19" s="103">
        <f>$AB$19*'Прогноз цен'!$D$34</f>
        <v>151.80000000000001</v>
      </c>
      <c r="AL19" s="103">
        <f>$AB$19*'Прогноз цен'!$D$34</f>
        <v>151.80000000000001</v>
      </c>
      <c r="AM19" s="103">
        <f>$AB$19*'Прогноз цен'!$D$34</f>
        <v>151.80000000000001</v>
      </c>
      <c r="AN19" s="103">
        <f>$AB$19*'Прогноз цен'!$D$34</f>
        <v>151.80000000000001</v>
      </c>
      <c r="AO19" s="103">
        <f>$AN$19*'Прогноз цен'!$E$34</f>
        <v>166.98000000000002</v>
      </c>
      <c r="AP19" s="103">
        <f>$AN$19*'Прогноз цен'!$E$34</f>
        <v>166.98000000000002</v>
      </c>
      <c r="AQ19" s="103">
        <f>$AN$19*'Прогноз цен'!$E$34</f>
        <v>166.98000000000002</v>
      </c>
      <c r="AR19" s="103">
        <f>$AN$19*'Прогноз цен'!$E$34</f>
        <v>166.98000000000002</v>
      </c>
      <c r="AS19" s="103">
        <f>$AN$19*'Прогноз цен'!$E$34</f>
        <v>166.98000000000002</v>
      </c>
      <c r="AT19" s="103">
        <f>$AN$19*'Прогноз цен'!$E$34</f>
        <v>166.98000000000002</v>
      </c>
      <c r="AU19" s="103">
        <f>$AN$19*'Прогноз цен'!$E$34</f>
        <v>166.98000000000002</v>
      </c>
      <c r="AV19" s="103">
        <f>$AN$19*'Прогноз цен'!$E$34</f>
        <v>166.98000000000002</v>
      </c>
      <c r="AW19" s="103">
        <f>$AN$19*'Прогноз цен'!$E$34</f>
        <v>166.98000000000002</v>
      </c>
      <c r="AX19" s="103">
        <f>$AN$19*'Прогноз цен'!$E$34</f>
        <v>166.98000000000002</v>
      </c>
      <c r="AY19" s="103">
        <f>$AN$19*'Прогноз цен'!$E$34</f>
        <v>166.98000000000002</v>
      </c>
      <c r="AZ19" s="103">
        <f>$AN$19*'Прогноз цен'!$E$34</f>
        <v>166.98000000000002</v>
      </c>
      <c r="BA19" s="103">
        <f>$AZ$19*'Прогноз цен'!$F$34</f>
        <v>183.67800000000003</v>
      </c>
      <c r="BB19" s="103">
        <f>$AZ$19*'Прогноз цен'!$F$34</f>
        <v>183.67800000000003</v>
      </c>
      <c r="BC19" s="103">
        <f>$AZ$19*'Прогноз цен'!$F$34</f>
        <v>183.67800000000003</v>
      </c>
      <c r="BD19" s="103">
        <f>$AZ$19*'Прогноз цен'!$F$34</f>
        <v>183.67800000000003</v>
      </c>
      <c r="BE19" s="103">
        <f>$AZ$19*'Прогноз цен'!$F$34</f>
        <v>183.67800000000003</v>
      </c>
      <c r="BF19" s="103">
        <f>$AZ$19*'Прогноз цен'!$F$34</f>
        <v>183.67800000000003</v>
      </c>
      <c r="BG19" s="103">
        <f>$AZ$19*'Прогноз цен'!$F$34</f>
        <v>183.67800000000003</v>
      </c>
      <c r="BH19" s="103">
        <f>$AZ$19*'Прогноз цен'!$F$34</f>
        <v>183.67800000000003</v>
      </c>
      <c r="BI19" s="103">
        <f>$AZ$19*'Прогноз цен'!$F$34</f>
        <v>183.67800000000003</v>
      </c>
      <c r="BJ19" s="103">
        <f>$AZ$19*'Прогноз цен'!$F$34</f>
        <v>183.67800000000003</v>
      </c>
      <c r="BK19" s="103">
        <f>$AZ$19*'Прогноз цен'!$F$34</f>
        <v>183.67800000000003</v>
      </c>
      <c r="BL19" s="103">
        <f>$AZ$19*'Прогноз цен'!$F$34</f>
        <v>183.67800000000003</v>
      </c>
      <c r="BM19" s="103">
        <f>$BL$19*'Прогноз цен'!$G$34</f>
        <v>202.04580000000004</v>
      </c>
      <c r="BN19" s="103">
        <f>$BL$19*'Прогноз цен'!$G$34</f>
        <v>202.04580000000004</v>
      </c>
      <c r="BO19" s="103">
        <f>$BL$19*'Прогноз цен'!$G$34</f>
        <v>202.04580000000004</v>
      </c>
      <c r="BP19" s="103">
        <f>$BL$19*'Прогноз цен'!$G$34</f>
        <v>202.04580000000004</v>
      </c>
      <c r="BQ19" s="103">
        <f>$BL$19*'Прогноз цен'!$G$34</f>
        <v>202.04580000000004</v>
      </c>
      <c r="BR19" s="103">
        <f>$BL$19*'Прогноз цен'!$G$34</f>
        <v>202.04580000000004</v>
      </c>
      <c r="BS19" s="103">
        <f>$BL$19*'Прогноз цен'!$G$34</f>
        <v>202.04580000000004</v>
      </c>
      <c r="BT19" s="103">
        <f>$BL$19*'Прогноз цен'!$G$34</f>
        <v>202.04580000000004</v>
      </c>
      <c r="BU19" s="103">
        <f>$BL$19*'Прогноз цен'!$G$34</f>
        <v>202.04580000000004</v>
      </c>
      <c r="BV19" s="103">
        <f>$BL$19*'Прогноз цен'!$G$34</f>
        <v>202.04580000000004</v>
      </c>
      <c r="BW19" s="103">
        <f>$BL$19*'Прогноз цен'!$G$34</f>
        <v>202.04580000000004</v>
      </c>
      <c r="BX19" s="103">
        <f>$BL$19*'Прогноз цен'!$G$34</f>
        <v>202.04580000000004</v>
      </c>
      <c r="BY19" s="103">
        <f>$BX$19*'Прогноз цен'!$H$34</f>
        <v>222.25038000000006</v>
      </c>
      <c r="BZ19" s="103">
        <f>$BX$19*'Прогноз цен'!$H$34</f>
        <v>222.25038000000006</v>
      </c>
      <c r="CA19" s="103">
        <f>$BX$19*'Прогноз цен'!$H$34</f>
        <v>222.25038000000006</v>
      </c>
      <c r="CB19" s="103">
        <f>$BX$19*'Прогноз цен'!$H$34</f>
        <v>222.25038000000006</v>
      </c>
      <c r="CC19" s="103">
        <f>$BX$19*'Прогноз цен'!$H$34</f>
        <v>222.25038000000006</v>
      </c>
      <c r="CD19" s="103">
        <f>$BX$19*'Прогноз цен'!$H$34</f>
        <v>222.25038000000006</v>
      </c>
      <c r="CE19" s="103">
        <f>$BX$19*'Прогноз цен'!$H$34</f>
        <v>222.25038000000006</v>
      </c>
      <c r="CF19" s="103">
        <f>$BX$19*'Прогноз цен'!$H$34</f>
        <v>222.25038000000006</v>
      </c>
      <c r="CG19" s="103">
        <f>$BX$19*'Прогноз цен'!$H$34</f>
        <v>222.25038000000006</v>
      </c>
      <c r="CH19" s="103">
        <f>$BX$19*'Прогноз цен'!$H$34</f>
        <v>222.25038000000006</v>
      </c>
      <c r="CI19" s="103">
        <f>$BX$19*'Прогноз цен'!$H$34</f>
        <v>222.25038000000006</v>
      </c>
      <c r="CJ19" s="103">
        <f>$BX$19*'Прогноз цен'!$H$34</f>
        <v>222.25038000000006</v>
      </c>
      <c r="CK19" s="103">
        <f>$CJ$19*'Прогноз цен'!$I$34</f>
        <v>244.47541800000008</v>
      </c>
      <c r="CL19" s="103">
        <f>$CJ$19*'Прогноз цен'!$I$34</f>
        <v>244.47541800000008</v>
      </c>
      <c r="CM19" s="103">
        <f>$CJ$19*'Прогноз цен'!$I$34</f>
        <v>244.47541800000008</v>
      </c>
      <c r="CN19" s="103">
        <f>$CJ$19*'Прогноз цен'!$I$34</f>
        <v>244.47541800000008</v>
      </c>
      <c r="CO19" s="103">
        <f>$CJ$19*'Прогноз цен'!$I$34</f>
        <v>244.47541800000008</v>
      </c>
      <c r="CP19" s="103">
        <f>$CJ$19*'Прогноз цен'!$I$34</f>
        <v>244.47541800000008</v>
      </c>
      <c r="CQ19" s="103">
        <f>$CJ$19*'Прогноз цен'!$I$34</f>
        <v>244.47541800000008</v>
      </c>
      <c r="CR19" s="103">
        <f>$CJ$19*'Прогноз цен'!$I$34</f>
        <v>244.47541800000008</v>
      </c>
      <c r="CS19" s="103">
        <f>$CJ$19*'Прогноз цен'!$I$34</f>
        <v>244.47541800000008</v>
      </c>
      <c r="CT19" s="103">
        <f>$CJ$19*'Прогноз цен'!$I$34</f>
        <v>244.47541800000008</v>
      </c>
      <c r="CU19" s="103">
        <f>$CJ$19*'Прогноз цен'!$I$34</f>
        <v>244.47541800000008</v>
      </c>
      <c r="CV19" s="103">
        <f>$CJ$19*'Прогноз цен'!$I$34</f>
        <v>244.47541800000008</v>
      </c>
      <c r="CW19" s="103">
        <f>$CV$19*'Прогноз цен'!$J$34</f>
        <v>268.92295980000011</v>
      </c>
      <c r="CX19" s="103">
        <f>$CV$19*'Прогноз цен'!$J$34</f>
        <v>268.92295980000011</v>
      </c>
      <c r="CY19" s="103">
        <f>$CV$19*'Прогноз цен'!$J$34</f>
        <v>268.92295980000011</v>
      </c>
      <c r="CZ19" s="103">
        <f>$CV$19*'Прогноз цен'!$J$34</f>
        <v>268.92295980000011</v>
      </c>
      <c r="DA19" s="103">
        <f>$CV$19*'Прогноз цен'!$J$34</f>
        <v>268.92295980000011</v>
      </c>
      <c r="DB19" s="103">
        <f>$CV$19*'Прогноз цен'!$J$34</f>
        <v>268.92295980000011</v>
      </c>
      <c r="DC19" s="103">
        <f>$CV$19*'Прогноз цен'!$J$34</f>
        <v>268.92295980000011</v>
      </c>
      <c r="DD19" s="103">
        <f>$CV$19*'Прогноз цен'!$J$34</f>
        <v>268.92295980000011</v>
      </c>
      <c r="DE19" s="103">
        <f>$CV$19*'Прогноз цен'!$J$34</f>
        <v>268.92295980000011</v>
      </c>
      <c r="DF19" s="103">
        <f>$CV$19*'Прогноз цен'!$J$34</f>
        <v>268.92295980000011</v>
      </c>
      <c r="DG19" s="103">
        <f>$CV$19*'Прогноз цен'!$J$34</f>
        <v>268.92295980000011</v>
      </c>
      <c r="DH19" s="103">
        <f>$CV$19*'Прогноз цен'!$J$34</f>
        <v>268.92295980000011</v>
      </c>
      <c r="DI19" s="103">
        <f>$DH$19*'Прогноз цен'!$K$34</f>
        <v>295.81525578000014</v>
      </c>
      <c r="DJ19" s="103">
        <f>$DH$19*'Прогноз цен'!$K$34</f>
        <v>295.81525578000014</v>
      </c>
      <c r="DK19" s="103">
        <f>$DH$19*'Прогноз цен'!$K$34</f>
        <v>295.81525578000014</v>
      </c>
      <c r="DL19" s="103">
        <f>$DH$19*'Прогноз цен'!$K$34</f>
        <v>295.81525578000014</v>
      </c>
      <c r="DM19" s="103">
        <f>$DH$19*'Прогноз цен'!$K$34</f>
        <v>295.81525578000014</v>
      </c>
      <c r="DN19" s="103">
        <f>$DH$19*'Прогноз цен'!$K$34</f>
        <v>295.81525578000014</v>
      </c>
      <c r="DO19" s="103">
        <f>$DH$19*'Прогноз цен'!$K$34</f>
        <v>295.81525578000014</v>
      </c>
      <c r="DP19" s="103">
        <f>$DH$19*'Прогноз цен'!$K$34</f>
        <v>295.81525578000014</v>
      </c>
      <c r="DQ19" s="103">
        <f>$DH$19*'Прогноз цен'!$K$34</f>
        <v>295.81525578000014</v>
      </c>
      <c r="DR19" s="103">
        <f>$DH$19*'Прогноз цен'!$K$34</f>
        <v>295.81525578000014</v>
      </c>
      <c r="DS19" s="103">
        <f>$DH$19*'Прогноз цен'!$K$34</f>
        <v>295.81525578000014</v>
      </c>
      <c r="DT19" s="103">
        <f>$DH$19*'Прогноз цен'!$K$34</f>
        <v>295.81525578000014</v>
      </c>
    </row>
    <row r="20" spans="1:124" s="64" customFormat="1" ht="12.75" customHeight="1">
      <c r="A20" s="101" t="s">
        <v>292</v>
      </c>
      <c r="B20" s="102" t="s">
        <v>286</v>
      </c>
      <c r="C20" s="224">
        <v>2</v>
      </c>
      <c r="D20" s="223">
        <v>40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f>$D$20*Исх.данные!$B$103*'Прогноз цен'!$B$34</f>
        <v>40</v>
      </c>
      <c r="P20" s="103">
        <f>$D$20*Исх.данные!$B$103*'Прогноз цен'!$B$34</f>
        <v>40</v>
      </c>
      <c r="Q20" s="103">
        <f>$D$20*Исх.данные!$B$103*'Прогноз цен'!$C$34</f>
        <v>40</v>
      </c>
      <c r="R20" s="103">
        <f>$D$20*Исх.данные!$B$103*'Прогноз цен'!$C$34</f>
        <v>40</v>
      </c>
      <c r="S20" s="103">
        <f>$D$20*Исх.данные!$B$103*'Прогноз цен'!$C$34</f>
        <v>40</v>
      </c>
      <c r="T20" s="103">
        <f>$D$20*Исх.данные!$B$103*'Прогноз цен'!$C$34</f>
        <v>40</v>
      </c>
      <c r="U20" s="103">
        <f>$D$20*Исх.данные!$B$103*'Прогноз цен'!$C$34</f>
        <v>40</v>
      </c>
      <c r="V20" s="103">
        <f>$D$20*Исх.данные!$B$103*'Прогноз цен'!$C$34</f>
        <v>40</v>
      </c>
      <c r="W20" s="103">
        <f>$D$20*Исх.данные!$B$103*'Прогноз цен'!$C$34</f>
        <v>40</v>
      </c>
      <c r="X20" s="103">
        <f>$D$20*Исх.данные!$B$103*'Прогноз цен'!$C$34</f>
        <v>40</v>
      </c>
      <c r="Y20" s="103">
        <f>$D$20*Исх.данные!$B$103*'Прогноз цен'!$C$34</f>
        <v>40</v>
      </c>
      <c r="Z20" s="103">
        <f>$D$20*Исх.данные!$B$103*'Прогноз цен'!$C$34</f>
        <v>40</v>
      </c>
      <c r="AA20" s="103">
        <f>$D$20*Исх.данные!$B$103*'Прогноз цен'!$C$34</f>
        <v>40</v>
      </c>
      <c r="AB20" s="103">
        <f>D20*Исх.данные!C103*'Прогноз цен'!$C$34</f>
        <v>80</v>
      </c>
      <c r="AC20" s="103">
        <f>$AB$20*'Прогноз цен'!$D$34</f>
        <v>88</v>
      </c>
      <c r="AD20" s="103">
        <f>$AB$20*'Прогноз цен'!$D$34</f>
        <v>88</v>
      </c>
      <c r="AE20" s="103">
        <f>$AB$20*'Прогноз цен'!$D$34</f>
        <v>88</v>
      </c>
      <c r="AF20" s="103">
        <f>$AB$20*'Прогноз цен'!$D$34</f>
        <v>88</v>
      </c>
      <c r="AG20" s="103">
        <f>$AB$20*'Прогноз цен'!$D$34</f>
        <v>88</v>
      </c>
      <c r="AH20" s="103">
        <f>$AB$20*'Прогноз цен'!$D$34</f>
        <v>88</v>
      </c>
      <c r="AI20" s="103">
        <f>$AB$20*'Прогноз цен'!$D$34</f>
        <v>88</v>
      </c>
      <c r="AJ20" s="103">
        <f>$AB$20*'Прогноз цен'!$D$34</f>
        <v>88</v>
      </c>
      <c r="AK20" s="103">
        <f>$AB$20*'Прогноз цен'!$D$34</f>
        <v>88</v>
      </c>
      <c r="AL20" s="103">
        <f>$AB$20*'Прогноз цен'!$D$34</f>
        <v>88</v>
      </c>
      <c r="AM20" s="103">
        <f>$AB$20*'Прогноз цен'!$D$34</f>
        <v>88</v>
      </c>
      <c r="AN20" s="103">
        <f>$AB$20*'Прогноз цен'!$D$34</f>
        <v>88</v>
      </c>
      <c r="AO20" s="103">
        <f>$AN$20*'Прогноз цен'!$E$34</f>
        <v>96.800000000000011</v>
      </c>
      <c r="AP20" s="103">
        <f>$AN$20*'Прогноз цен'!$E$34</f>
        <v>96.800000000000011</v>
      </c>
      <c r="AQ20" s="103">
        <f>$AN$20*'Прогноз цен'!$E$34</f>
        <v>96.800000000000011</v>
      </c>
      <c r="AR20" s="103">
        <f>$AN$20*'Прогноз цен'!$E$34</f>
        <v>96.800000000000011</v>
      </c>
      <c r="AS20" s="103">
        <f>$AN$20*'Прогноз цен'!$E$34</f>
        <v>96.800000000000011</v>
      </c>
      <c r="AT20" s="103">
        <f>$AN$20*'Прогноз цен'!$E$34</f>
        <v>96.800000000000011</v>
      </c>
      <c r="AU20" s="103">
        <f>$AN$20*'Прогноз цен'!$E$34</f>
        <v>96.800000000000011</v>
      </c>
      <c r="AV20" s="103">
        <f>$AN$20*'Прогноз цен'!$E$34</f>
        <v>96.800000000000011</v>
      </c>
      <c r="AW20" s="103">
        <f>$AN$20*'Прогноз цен'!$E$34</f>
        <v>96.800000000000011</v>
      </c>
      <c r="AX20" s="103">
        <f>$AN$20*'Прогноз цен'!$E$34</f>
        <v>96.800000000000011</v>
      </c>
      <c r="AY20" s="103">
        <f>$AN$20*'Прогноз цен'!$E$34</f>
        <v>96.800000000000011</v>
      </c>
      <c r="AZ20" s="103">
        <f>$AN$20*'Прогноз цен'!$E$34</f>
        <v>96.800000000000011</v>
      </c>
      <c r="BA20" s="103">
        <f>$AZ$20*'Прогноз цен'!$F$34</f>
        <v>106.48000000000002</v>
      </c>
      <c r="BB20" s="103">
        <f>$AZ$20*'Прогноз цен'!$F$34</f>
        <v>106.48000000000002</v>
      </c>
      <c r="BC20" s="103">
        <f>$AZ$20*'Прогноз цен'!$F$34</f>
        <v>106.48000000000002</v>
      </c>
      <c r="BD20" s="103">
        <f>$AZ$20*'Прогноз цен'!$F$34</f>
        <v>106.48000000000002</v>
      </c>
      <c r="BE20" s="103">
        <f>$AZ$20*'Прогноз цен'!$F$34</f>
        <v>106.48000000000002</v>
      </c>
      <c r="BF20" s="103">
        <f>$AZ$20*'Прогноз цен'!$F$34</f>
        <v>106.48000000000002</v>
      </c>
      <c r="BG20" s="103">
        <f>$AZ$20*'Прогноз цен'!$F$34</f>
        <v>106.48000000000002</v>
      </c>
      <c r="BH20" s="103">
        <f>$AZ$20*'Прогноз цен'!$F$34</f>
        <v>106.48000000000002</v>
      </c>
      <c r="BI20" s="103">
        <f>$AZ$20*'Прогноз цен'!$F$34</f>
        <v>106.48000000000002</v>
      </c>
      <c r="BJ20" s="103">
        <f>$AZ$20*'Прогноз цен'!$F$34</f>
        <v>106.48000000000002</v>
      </c>
      <c r="BK20" s="103">
        <f>$AZ$20*'Прогноз цен'!$F$34</f>
        <v>106.48000000000002</v>
      </c>
      <c r="BL20" s="103">
        <f>$AZ$20*'Прогноз цен'!$F$34</f>
        <v>106.48000000000002</v>
      </c>
      <c r="BM20" s="103">
        <f>$BL$20*'Прогноз цен'!$G$34</f>
        <v>117.12800000000003</v>
      </c>
      <c r="BN20" s="103">
        <f>$BL$20*'Прогноз цен'!$G$34</f>
        <v>117.12800000000003</v>
      </c>
      <c r="BO20" s="103">
        <f>$BL$20*'Прогноз цен'!$G$34</f>
        <v>117.12800000000003</v>
      </c>
      <c r="BP20" s="103">
        <f>$BL$20*'Прогноз цен'!$G$34</f>
        <v>117.12800000000003</v>
      </c>
      <c r="BQ20" s="103">
        <f>$BL$20*'Прогноз цен'!$G$34</f>
        <v>117.12800000000003</v>
      </c>
      <c r="BR20" s="103">
        <f>$BL$20*'Прогноз цен'!$G$34</f>
        <v>117.12800000000003</v>
      </c>
      <c r="BS20" s="103">
        <f>$BL$20*'Прогноз цен'!$G$34</f>
        <v>117.12800000000003</v>
      </c>
      <c r="BT20" s="103">
        <f>$BL$20*'Прогноз цен'!$G$34</f>
        <v>117.12800000000003</v>
      </c>
      <c r="BU20" s="103">
        <f>$BL$20*'Прогноз цен'!$G$34</f>
        <v>117.12800000000003</v>
      </c>
      <c r="BV20" s="103">
        <f>$BL$20*'Прогноз цен'!$G$34</f>
        <v>117.12800000000003</v>
      </c>
      <c r="BW20" s="103">
        <f>$BL$20*'Прогноз цен'!$G$34</f>
        <v>117.12800000000003</v>
      </c>
      <c r="BX20" s="103">
        <f>$BL$20*'Прогноз цен'!$G$34</f>
        <v>117.12800000000003</v>
      </c>
      <c r="BY20" s="103">
        <f>$BX$20*'Прогноз цен'!$H$34</f>
        <v>128.84080000000003</v>
      </c>
      <c r="BZ20" s="103">
        <f>$BX$20*'Прогноз цен'!$H$34</f>
        <v>128.84080000000003</v>
      </c>
      <c r="CA20" s="103">
        <f>$BX$20*'Прогноз цен'!$H$34</f>
        <v>128.84080000000003</v>
      </c>
      <c r="CB20" s="103">
        <f>$BX$20*'Прогноз цен'!$H$34</f>
        <v>128.84080000000003</v>
      </c>
      <c r="CC20" s="103">
        <f>$BX$20*'Прогноз цен'!$H$34</f>
        <v>128.84080000000003</v>
      </c>
      <c r="CD20" s="103">
        <f>$BX$20*'Прогноз цен'!$H$34</f>
        <v>128.84080000000003</v>
      </c>
      <c r="CE20" s="103">
        <f>$BX$20*'Прогноз цен'!$H$34</f>
        <v>128.84080000000003</v>
      </c>
      <c r="CF20" s="103">
        <f>$BX$20*'Прогноз цен'!$H$34</f>
        <v>128.84080000000003</v>
      </c>
      <c r="CG20" s="103">
        <f>$BX$20*'Прогноз цен'!$H$34</f>
        <v>128.84080000000003</v>
      </c>
      <c r="CH20" s="103">
        <f>$BX$20*'Прогноз цен'!$H$34</f>
        <v>128.84080000000003</v>
      </c>
      <c r="CI20" s="103">
        <f>$BX$20*'Прогноз цен'!$H$34</f>
        <v>128.84080000000003</v>
      </c>
      <c r="CJ20" s="103">
        <f>$BX$20*'Прогноз цен'!$H$34</f>
        <v>128.84080000000003</v>
      </c>
      <c r="CK20" s="103">
        <f>$CJ$20*'Прогноз цен'!$I$34</f>
        <v>141.72488000000004</v>
      </c>
      <c r="CL20" s="103">
        <f>$CJ$20*'Прогноз цен'!$I$34</f>
        <v>141.72488000000004</v>
      </c>
      <c r="CM20" s="103">
        <f>$CJ$20*'Прогноз цен'!$I$34</f>
        <v>141.72488000000004</v>
      </c>
      <c r="CN20" s="103">
        <f>$CJ$20*'Прогноз цен'!$I$34</f>
        <v>141.72488000000004</v>
      </c>
      <c r="CO20" s="103">
        <f>$CJ$20*'Прогноз цен'!$I$34</f>
        <v>141.72488000000004</v>
      </c>
      <c r="CP20" s="103">
        <f>$CJ$20*'Прогноз цен'!$I$34</f>
        <v>141.72488000000004</v>
      </c>
      <c r="CQ20" s="103">
        <f>$CJ$20*'Прогноз цен'!$I$34</f>
        <v>141.72488000000004</v>
      </c>
      <c r="CR20" s="103">
        <f>$CJ$20*'Прогноз цен'!$I$34</f>
        <v>141.72488000000004</v>
      </c>
      <c r="CS20" s="103">
        <f>$CJ$20*'Прогноз цен'!$I$34</f>
        <v>141.72488000000004</v>
      </c>
      <c r="CT20" s="103">
        <f>$CJ$20*'Прогноз цен'!$I$34</f>
        <v>141.72488000000004</v>
      </c>
      <c r="CU20" s="103">
        <f>$CJ$20*'Прогноз цен'!$I$34</f>
        <v>141.72488000000004</v>
      </c>
      <c r="CV20" s="103">
        <f>$CJ$20*'Прогноз цен'!$I$34</f>
        <v>141.72488000000004</v>
      </c>
      <c r="CW20" s="103">
        <f>$CV$20*'Прогноз цен'!$J$34</f>
        <v>155.89736800000006</v>
      </c>
      <c r="CX20" s="103">
        <f>$CV$20*'Прогноз цен'!$J$34</f>
        <v>155.89736800000006</v>
      </c>
      <c r="CY20" s="103">
        <f>$CV$20*'Прогноз цен'!$J$34</f>
        <v>155.89736800000006</v>
      </c>
      <c r="CZ20" s="103">
        <f>$CV$20*'Прогноз цен'!$J$34</f>
        <v>155.89736800000006</v>
      </c>
      <c r="DA20" s="103">
        <f>$CV$20*'Прогноз цен'!$J$34</f>
        <v>155.89736800000006</v>
      </c>
      <c r="DB20" s="103">
        <f>$CV$20*'Прогноз цен'!$J$34</f>
        <v>155.89736800000006</v>
      </c>
      <c r="DC20" s="103">
        <f>$CV$20*'Прогноз цен'!$J$34</f>
        <v>155.89736800000006</v>
      </c>
      <c r="DD20" s="103">
        <f>$CV$20*'Прогноз цен'!$J$34</f>
        <v>155.89736800000006</v>
      </c>
      <c r="DE20" s="103">
        <f>$CV$20*'Прогноз цен'!$J$34</f>
        <v>155.89736800000006</v>
      </c>
      <c r="DF20" s="103">
        <f>$CV$20*'Прогноз цен'!$J$34</f>
        <v>155.89736800000006</v>
      </c>
      <c r="DG20" s="103">
        <f>$CV$20*'Прогноз цен'!$J$34</f>
        <v>155.89736800000006</v>
      </c>
      <c r="DH20" s="103">
        <f>$CV$20*'Прогноз цен'!$J$34</f>
        <v>155.89736800000006</v>
      </c>
      <c r="DI20" s="103">
        <f>$DH$20*'Прогноз цен'!$K$34</f>
        <v>171.48710480000008</v>
      </c>
      <c r="DJ20" s="103">
        <f>$DH$20*'Прогноз цен'!$K$34</f>
        <v>171.48710480000008</v>
      </c>
      <c r="DK20" s="103">
        <f>$DH$20*'Прогноз цен'!$K$34</f>
        <v>171.48710480000008</v>
      </c>
      <c r="DL20" s="103">
        <f>$DH$20*'Прогноз цен'!$K$34</f>
        <v>171.48710480000008</v>
      </c>
      <c r="DM20" s="103">
        <f>$DH$20*'Прогноз цен'!$K$34</f>
        <v>171.48710480000008</v>
      </c>
      <c r="DN20" s="103">
        <f>$DH$20*'Прогноз цен'!$K$34</f>
        <v>171.48710480000008</v>
      </c>
      <c r="DO20" s="103">
        <f>$DH$20*'Прогноз цен'!$K$34</f>
        <v>171.48710480000008</v>
      </c>
      <c r="DP20" s="103">
        <f>$DH$20*'Прогноз цен'!$K$34</f>
        <v>171.48710480000008</v>
      </c>
      <c r="DQ20" s="103">
        <f>$DH$20*'Прогноз цен'!$K$34</f>
        <v>171.48710480000008</v>
      </c>
      <c r="DR20" s="103">
        <f>$DH$20*'Прогноз цен'!$K$34</f>
        <v>171.48710480000008</v>
      </c>
      <c r="DS20" s="103">
        <f>$DH$20*'Прогноз цен'!$K$34</f>
        <v>171.48710480000008</v>
      </c>
      <c r="DT20" s="103">
        <f>$DH$20*'Прогноз цен'!$K$34</f>
        <v>171.48710480000008</v>
      </c>
    </row>
    <row r="21" spans="1:124" s="64" customFormat="1" ht="12.75" customHeight="1">
      <c r="A21" s="108">
        <v>3</v>
      </c>
      <c r="B21" s="109" t="s">
        <v>215</v>
      </c>
      <c r="C21" s="110">
        <f>SUM(C22:C23)</f>
        <v>4</v>
      </c>
      <c r="D21" s="110"/>
      <c r="E21" s="110">
        <f>SUM(E22:E23)</f>
        <v>0</v>
      </c>
      <c r="F21" s="110">
        <f t="shared" ref="F21:BQ21" si="8">SUM(F22:F23)</f>
        <v>0</v>
      </c>
      <c r="G21" s="110">
        <f t="shared" si="8"/>
        <v>0</v>
      </c>
      <c r="H21" s="110">
        <f t="shared" si="8"/>
        <v>0</v>
      </c>
      <c r="I21" s="110">
        <f t="shared" si="8"/>
        <v>0</v>
      </c>
      <c r="J21" s="110">
        <f t="shared" si="8"/>
        <v>0</v>
      </c>
      <c r="K21" s="110">
        <f t="shared" si="8"/>
        <v>0</v>
      </c>
      <c r="L21" s="110">
        <f t="shared" si="8"/>
        <v>0</v>
      </c>
      <c r="M21" s="110">
        <f t="shared" si="8"/>
        <v>0</v>
      </c>
      <c r="N21" s="110">
        <f>SUM(N22:N23)</f>
        <v>0</v>
      </c>
      <c r="O21" s="110">
        <f t="shared" si="8"/>
        <v>150</v>
      </c>
      <c r="P21" s="110">
        <f t="shared" si="8"/>
        <v>150</v>
      </c>
      <c r="Q21" s="110">
        <f t="shared" si="8"/>
        <v>150</v>
      </c>
      <c r="R21" s="110">
        <f t="shared" si="8"/>
        <v>150</v>
      </c>
      <c r="S21" s="110">
        <f t="shared" si="8"/>
        <v>150</v>
      </c>
      <c r="T21" s="110">
        <f t="shared" si="8"/>
        <v>150</v>
      </c>
      <c r="U21" s="110">
        <f t="shared" si="8"/>
        <v>150</v>
      </c>
      <c r="V21" s="110">
        <f t="shared" si="8"/>
        <v>150</v>
      </c>
      <c r="W21" s="110">
        <f t="shared" si="8"/>
        <v>150</v>
      </c>
      <c r="X21" s="110">
        <f t="shared" si="8"/>
        <v>150</v>
      </c>
      <c r="Y21" s="110">
        <f t="shared" si="8"/>
        <v>150</v>
      </c>
      <c r="Z21" s="110">
        <f t="shared" si="8"/>
        <v>150</v>
      </c>
      <c r="AA21" s="110">
        <f t="shared" si="8"/>
        <v>150</v>
      </c>
      <c r="AB21" s="110">
        <f t="shared" si="8"/>
        <v>150</v>
      </c>
      <c r="AC21" s="110">
        <f t="shared" si="8"/>
        <v>165</v>
      </c>
      <c r="AD21" s="110">
        <f t="shared" si="8"/>
        <v>165</v>
      </c>
      <c r="AE21" s="110">
        <f t="shared" si="8"/>
        <v>165</v>
      </c>
      <c r="AF21" s="110">
        <f t="shared" si="8"/>
        <v>165</v>
      </c>
      <c r="AG21" s="110">
        <f t="shared" si="8"/>
        <v>165</v>
      </c>
      <c r="AH21" s="110">
        <f t="shared" si="8"/>
        <v>165</v>
      </c>
      <c r="AI21" s="110">
        <f t="shared" si="8"/>
        <v>165</v>
      </c>
      <c r="AJ21" s="110">
        <f t="shared" si="8"/>
        <v>165</v>
      </c>
      <c r="AK21" s="110">
        <f t="shared" si="8"/>
        <v>165</v>
      </c>
      <c r="AL21" s="110">
        <f t="shared" si="8"/>
        <v>165</v>
      </c>
      <c r="AM21" s="110">
        <f t="shared" si="8"/>
        <v>165</v>
      </c>
      <c r="AN21" s="110">
        <f t="shared" si="8"/>
        <v>165</v>
      </c>
      <c r="AO21" s="110">
        <f t="shared" si="8"/>
        <v>181.50000000000003</v>
      </c>
      <c r="AP21" s="110">
        <f t="shared" si="8"/>
        <v>181.50000000000003</v>
      </c>
      <c r="AQ21" s="110">
        <f t="shared" si="8"/>
        <v>181.50000000000003</v>
      </c>
      <c r="AR21" s="110">
        <f t="shared" si="8"/>
        <v>181.50000000000003</v>
      </c>
      <c r="AS21" s="110">
        <f t="shared" si="8"/>
        <v>181.50000000000003</v>
      </c>
      <c r="AT21" s="110">
        <f t="shared" si="8"/>
        <v>181.50000000000003</v>
      </c>
      <c r="AU21" s="110">
        <f t="shared" si="8"/>
        <v>181.50000000000003</v>
      </c>
      <c r="AV21" s="110">
        <f t="shared" si="8"/>
        <v>181.50000000000003</v>
      </c>
      <c r="AW21" s="110">
        <f t="shared" si="8"/>
        <v>181.50000000000003</v>
      </c>
      <c r="AX21" s="110">
        <f t="shared" si="8"/>
        <v>181.50000000000003</v>
      </c>
      <c r="AY21" s="110">
        <f t="shared" si="8"/>
        <v>181.50000000000003</v>
      </c>
      <c r="AZ21" s="110">
        <f t="shared" si="8"/>
        <v>181.50000000000003</v>
      </c>
      <c r="BA21" s="110">
        <f t="shared" si="8"/>
        <v>199.65000000000003</v>
      </c>
      <c r="BB21" s="110">
        <f t="shared" si="8"/>
        <v>199.65000000000003</v>
      </c>
      <c r="BC21" s="110">
        <f t="shared" si="8"/>
        <v>199.65000000000003</v>
      </c>
      <c r="BD21" s="110">
        <f t="shared" si="8"/>
        <v>199.65000000000003</v>
      </c>
      <c r="BE21" s="110">
        <f t="shared" si="8"/>
        <v>199.65000000000003</v>
      </c>
      <c r="BF21" s="110">
        <f t="shared" si="8"/>
        <v>199.65000000000003</v>
      </c>
      <c r="BG21" s="110">
        <f t="shared" si="8"/>
        <v>199.65000000000003</v>
      </c>
      <c r="BH21" s="110">
        <f t="shared" si="8"/>
        <v>199.65000000000003</v>
      </c>
      <c r="BI21" s="110">
        <f t="shared" si="8"/>
        <v>199.65000000000003</v>
      </c>
      <c r="BJ21" s="110">
        <f t="shared" si="8"/>
        <v>199.65000000000003</v>
      </c>
      <c r="BK21" s="110">
        <f t="shared" si="8"/>
        <v>199.65000000000003</v>
      </c>
      <c r="BL21" s="110">
        <f t="shared" si="8"/>
        <v>199.65000000000003</v>
      </c>
      <c r="BM21" s="110">
        <f t="shared" si="8"/>
        <v>219.61500000000004</v>
      </c>
      <c r="BN21" s="110">
        <f t="shared" si="8"/>
        <v>219.61500000000004</v>
      </c>
      <c r="BO21" s="110">
        <f t="shared" si="8"/>
        <v>219.61500000000004</v>
      </c>
      <c r="BP21" s="110">
        <f t="shared" si="8"/>
        <v>219.61500000000004</v>
      </c>
      <c r="BQ21" s="110">
        <f t="shared" si="8"/>
        <v>219.61500000000004</v>
      </c>
      <c r="BR21" s="110">
        <f t="shared" ref="BR21:DT21" si="9">SUM(BR22:BR23)</f>
        <v>219.61500000000004</v>
      </c>
      <c r="BS21" s="110">
        <f t="shared" si="9"/>
        <v>219.61500000000004</v>
      </c>
      <c r="BT21" s="110">
        <f t="shared" si="9"/>
        <v>219.61500000000004</v>
      </c>
      <c r="BU21" s="110">
        <f t="shared" si="9"/>
        <v>219.61500000000004</v>
      </c>
      <c r="BV21" s="110">
        <f t="shared" si="9"/>
        <v>219.61500000000004</v>
      </c>
      <c r="BW21" s="110">
        <f t="shared" si="9"/>
        <v>219.61500000000004</v>
      </c>
      <c r="BX21" s="110">
        <f t="shared" si="9"/>
        <v>219.61500000000004</v>
      </c>
      <c r="BY21" s="110">
        <f t="shared" si="9"/>
        <v>241.57650000000007</v>
      </c>
      <c r="BZ21" s="110">
        <f t="shared" si="9"/>
        <v>241.57650000000007</v>
      </c>
      <c r="CA21" s="110">
        <f t="shared" si="9"/>
        <v>241.57650000000007</v>
      </c>
      <c r="CB21" s="110">
        <f t="shared" si="9"/>
        <v>241.57650000000007</v>
      </c>
      <c r="CC21" s="110">
        <f t="shared" si="9"/>
        <v>241.57650000000007</v>
      </c>
      <c r="CD21" s="110">
        <f t="shared" si="9"/>
        <v>241.57650000000007</v>
      </c>
      <c r="CE21" s="110">
        <f t="shared" si="9"/>
        <v>241.57650000000007</v>
      </c>
      <c r="CF21" s="110">
        <f t="shared" si="9"/>
        <v>241.57650000000007</v>
      </c>
      <c r="CG21" s="110">
        <f t="shared" si="9"/>
        <v>241.57650000000007</v>
      </c>
      <c r="CH21" s="110">
        <f t="shared" si="9"/>
        <v>241.57650000000007</v>
      </c>
      <c r="CI21" s="110">
        <f t="shared" si="9"/>
        <v>241.57650000000007</v>
      </c>
      <c r="CJ21" s="110">
        <f t="shared" si="9"/>
        <v>241.57650000000007</v>
      </c>
      <c r="CK21" s="110">
        <f t="shared" si="9"/>
        <v>265.73415000000011</v>
      </c>
      <c r="CL21" s="110">
        <f t="shared" si="9"/>
        <v>265.73415000000011</v>
      </c>
      <c r="CM21" s="110">
        <f t="shared" si="9"/>
        <v>265.73415000000011</v>
      </c>
      <c r="CN21" s="110">
        <f t="shared" si="9"/>
        <v>265.73415000000011</v>
      </c>
      <c r="CO21" s="110">
        <f t="shared" si="9"/>
        <v>265.73415000000011</v>
      </c>
      <c r="CP21" s="110">
        <f t="shared" si="9"/>
        <v>265.73415000000011</v>
      </c>
      <c r="CQ21" s="110">
        <f t="shared" si="9"/>
        <v>265.73415000000011</v>
      </c>
      <c r="CR21" s="110">
        <f t="shared" si="9"/>
        <v>265.73415000000011</v>
      </c>
      <c r="CS21" s="110">
        <f t="shared" si="9"/>
        <v>265.73415000000011</v>
      </c>
      <c r="CT21" s="110">
        <f t="shared" si="9"/>
        <v>265.73415000000011</v>
      </c>
      <c r="CU21" s="110">
        <f t="shared" si="9"/>
        <v>265.73415000000011</v>
      </c>
      <c r="CV21" s="110">
        <f t="shared" si="9"/>
        <v>265.73415000000011</v>
      </c>
      <c r="CW21" s="110">
        <f t="shared" si="9"/>
        <v>292.30756500000018</v>
      </c>
      <c r="CX21" s="110">
        <f t="shared" si="9"/>
        <v>292.30756500000018</v>
      </c>
      <c r="CY21" s="110">
        <f t="shared" si="9"/>
        <v>292.30756500000018</v>
      </c>
      <c r="CZ21" s="110">
        <f t="shared" si="9"/>
        <v>292.30756500000018</v>
      </c>
      <c r="DA21" s="110">
        <f t="shared" si="9"/>
        <v>292.30756500000018</v>
      </c>
      <c r="DB21" s="110">
        <f t="shared" si="9"/>
        <v>292.30756500000018</v>
      </c>
      <c r="DC21" s="110">
        <f t="shared" si="9"/>
        <v>292.30756500000018</v>
      </c>
      <c r="DD21" s="110">
        <f t="shared" si="9"/>
        <v>292.30756500000018</v>
      </c>
      <c r="DE21" s="110">
        <f t="shared" si="9"/>
        <v>292.30756500000018</v>
      </c>
      <c r="DF21" s="110">
        <f t="shared" si="9"/>
        <v>292.30756500000018</v>
      </c>
      <c r="DG21" s="110">
        <f t="shared" si="9"/>
        <v>292.30756500000018</v>
      </c>
      <c r="DH21" s="110">
        <f t="shared" si="9"/>
        <v>292.30756500000018</v>
      </c>
      <c r="DI21" s="110">
        <f t="shared" si="9"/>
        <v>321.53832150000022</v>
      </c>
      <c r="DJ21" s="110">
        <f t="shared" si="9"/>
        <v>321.53832150000022</v>
      </c>
      <c r="DK21" s="110">
        <f t="shared" si="9"/>
        <v>321.53832150000022</v>
      </c>
      <c r="DL21" s="110">
        <f t="shared" si="9"/>
        <v>321.53832150000022</v>
      </c>
      <c r="DM21" s="110">
        <f t="shared" si="9"/>
        <v>321.53832150000022</v>
      </c>
      <c r="DN21" s="110">
        <f t="shared" si="9"/>
        <v>321.53832150000022</v>
      </c>
      <c r="DO21" s="110">
        <f t="shared" si="9"/>
        <v>321.53832150000022</v>
      </c>
      <c r="DP21" s="110">
        <f t="shared" si="9"/>
        <v>321.53832150000022</v>
      </c>
      <c r="DQ21" s="110">
        <f t="shared" si="9"/>
        <v>321.53832150000022</v>
      </c>
      <c r="DR21" s="110">
        <f t="shared" si="9"/>
        <v>321.53832150000022</v>
      </c>
      <c r="DS21" s="110">
        <f t="shared" si="9"/>
        <v>321.53832150000022</v>
      </c>
      <c r="DT21" s="110">
        <f t="shared" si="9"/>
        <v>321.53832150000022</v>
      </c>
    </row>
    <row r="22" spans="1:124" s="64" customFormat="1" ht="12.75" customHeight="1">
      <c r="A22" s="101" t="s">
        <v>41</v>
      </c>
      <c r="B22" s="340" t="s">
        <v>287</v>
      </c>
      <c r="C22" s="224">
        <v>1</v>
      </c>
      <c r="D22" s="223">
        <v>30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3">
        <f>$D$22*Исх.данные!$B$105*'Прогноз цен'!$B$34</f>
        <v>30</v>
      </c>
      <c r="P22" s="103">
        <f>$D$22*Исх.данные!$B$105*'Прогноз цен'!$B$34</f>
        <v>30</v>
      </c>
      <c r="Q22" s="103">
        <f>$P$22*'Прогноз цен'!$C$34</f>
        <v>30</v>
      </c>
      <c r="R22" s="103">
        <f>$P$22*'Прогноз цен'!$C$34</f>
        <v>30</v>
      </c>
      <c r="S22" s="103">
        <f>$P$22*'Прогноз цен'!$C$34</f>
        <v>30</v>
      </c>
      <c r="T22" s="103">
        <f>$P$22*'Прогноз цен'!$C$34</f>
        <v>30</v>
      </c>
      <c r="U22" s="103">
        <f>$P$22*'Прогноз цен'!$C$34</f>
        <v>30</v>
      </c>
      <c r="V22" s="103">
        <f>$P$22*'Прогноз цен'!$C$34</f>
        <v>30</v>
      </c>
      <c r="W22" s="103">
        <f>$P$22*'Прогноз цен'!$C$34</f>
        <v>30</v>
      </c>
      <c r="X22" s="103">
        <f>$P$22*'Прогноз цен'!$C$34</f>
        <v>30</v>
      </c>
      <c r="Y22" s="103">
        <f>$P$22*'Прогноз цен'!$C$34</f>
        <v>30</v>
      </c>
      <c r="Z22" s="103">
        <f>$P$22*'Прогноз цен'!$C$34</f>
        <v>30</v>
      </c>
      <c r="AA22" s="103">
        <f>$P$22*'Прогноз цен'!$C$34</f>
        <v>30</v>
      </c>
      <c r="AB22" s="103">
        <f>$P$22*'Прогноз цен'!$C$34</f>
        <v>30</v>
      </c>
      <c r="AC22" s="103">
        <f>$AB$22*'Прогноз цен'!$D$34</f>
        <v>33</v>
      </c>
      <c r="AD22" s="103">
        <f>$AB$22*'Прогноз цен'!$D$34</f>
        <v>33</v>
      </c>
      <c r="AE22" s="103">
        <f>$AB$22*'Прогноз цен'!$D$34</f>
        <v>33</v>
      </c>
      <c r="AF22" s="103">
        <f>$AB$22*'Прогноз цен'!$D$34</f>
        <v>33</v>
      </c>
      <c r="AG22" s="103">
        <f>$AB$22*'Прогноз цен'!$D$34</f>
        <v>33</v>
      </c>
      <c r="AH22" s="103">
        <f>$AB$22*'Прогноз цен'!$D$34</f>
        <v>33</v>
      </c>
      <c r="AI22" s="103">
        <f>$AB$22*'Прогноз цен'!$D$34</f>
        <v>33</v>
      </c>
      <c r="AJ22" s="103">
        <f>$AB$22*'Прогноз цен'!$D$34</f>
        <v>33</v>
      </c>
      <c r="AK22" s="103">
        <f>$AB$22*'Прогноз цен'!$D$34</f>
        <v>33</v>
      </c>
      <c r="AL22" s="103">
        <f>$AB$22*'Прогноз цен'!$D$34</f>
        <v>33</v>
      </c>
      <c r="AM22" s="103">
        <f>$AB$22*'Прогноз цен'!$D$34</f>
        <v>33</v>
      </c>
      <c r="AN22" s="103">
        <f>$AB$22*'Прогноз цен'!$D$34</f>
        <v>33</v>
      </c>
      <c r="AO22" s="103">
        <f>$AN$22*'Прогноз цен'!$E$34</f>
        <v>36.300000000000004</v>
      </c>
      <c r="AP22" s="103">
        <f>$AN$22*'Прогноз цен'!$E$34</f>
        <v>36.300000000000004</v>
      </c>
      <c r="AQ22" s="103">
        <f>$AN$22*'Прогноз цен'!$E$34</f>
        <v>36.300000000000004</v>
      </c>
      <c r="AR22" s="103">
        <f>$AN$22*'Прогноз цен'!$E$34</f>
        <v>36.300000000000004</v>
      </c>
      <c r="AS22" s="103">
        <f>$AN$22*'Прогноз цен'!$E$34</f>
        <v>36.300000000000004</v>
      </c>
      <c r="AT22" s="103">
        <f>$AN$22*'Прогноз цен'!$E$34</f>
        <v>36.300000000000004</v>
      </c>
      <c r="AU22" s="103">
        <f>$AN$22*'Прогноз цен'!$E$34</f>
        <v>36.300000000000004</v>
      </c>
      <c r="AV22" s="103">
        <f>$AN$22*'Прогноз цен'!$E$34</f>
        <v>36.300000000000004</v>
      </c>
      <c r="AW22" s="103">
        <f>$AN$22*'Прогноз цен'!$E$34</f>
        <v>36.300000000000004</v>
      </c>
      <c r="AX22" s="103">
        <f>$AN$22*'Прогноз цен'!$E$34</f>
        <v>36.300000000000004</v>
      </c>
      <c r="AY22" s="103">
        <f>$AN$22*'Прогноз цен'!$E$34</f>
        <v>36.300000000000004</v>
      </c>
      <c r="AZ22" s="103">
        <f>$AN$22*'Прогноз цен'!$E$34</f>
        <v>36.300000000000004</v>
      </c>
      <c r="BA22" s="103">
        <f>$AZ$22*'Прогноз цен'!$F$34</f>
        <v>39.930000000000007</v>
      </c>
      <c r="BB22" s="103">
        <f>$AZ$22*'Прогноз цен'!$F$34</f>
        <v>39.930000000000007</v>
      </c>
      <c r="BC22" s="103">
        <f>$AZ$22*'Прогноз цен'!$F$34</f>
        <v>39.930000000000007</v>
      </c>
      <c r="BD22" s="103">
        <f>$AZ$22*'Прогноз цен'!$F$34</f>
        <v>39.930000000000007</v>
      </c>
      <c r="BE22" s="103">
        <f>$AZ$22*'Прогноз цен'!$F$34</f>
        <v>39.930000000000007</v>
      </c>
      <c r="BF22" s="103">
        <f>$AZ$22*'Прогноз цен'!$F$34</f>
        <v>39.930000000000007</v>
      </c>
      <c r="BG22" s="103">
        <f>$AZ$22*'Прогноз цен'!$F$34</f>
        <v>39.930000000000007</v>
      </c>
      <c r="BH22" s="103">
        <f>$AZ$22*'Прогноз цен'!$F$34</f>
        <v>39.930000000000007</v>
      </c>
      <c r="BI22" s="103">
        <f>$AZ$22*'Прогноз цен'!$F$34</f>
        <v>39.930000000000007</v>
      </c>
      <c r="BJ22" s="103">
        <f>$AZ$22*'Прогноз цен'!$F$34</f>
        <v>39.930000000000007</v>
      </c>
      <c r="BK22" s="103">
        <f>$AZ$22*'Прогноз цен'!$F$34</f>
        <v>39.930000000000007</v>
      </c>
      <c r="BL22" s="103">
        <f>$AZ$22*'Прогноз цен'!$F$34</f>
        <v>39.930000000000007</v>
      </c>
      <c r="BM22" s="103">
        <f>$BL$22*'Прогноз цен'!$G$34</f>
        <v>43.923000000000009</v>
      </c>
      <c r="BN22" s="103">
        <f>$BL$22*'Прогноз цен'!$G$34</f>
        <v>43.923000000000009</v>
      </c>
      <c r="BO22" s="103">
        <f>$BL$22*'Прогноз цен'!$G$34</f>
        <v>43.923000000000009</v>
      </c>
      <c r="BP22" s="103">
        <f>$BL$22*'Прогноз цен'!$G$34</f>
        <v>43.923000000000009</v>
      </c>
      <c r="BQ22" s="103">
        <f>$BL$22*'Прогноз цен'!$G$34</f>
        <v>43.923000000000009</v>
      </c>
      <c r="BR22" s="103">
        <f>$BL$22*'Прогноз цен'!$G$34</f>
        <v>43.923000000000009</v>
      </c>
      <c r="BS22" s="103">
        <f>$BL$22*'Прогноз цен'!$G$34</f>
        <v>43.923000000000009</v>
      </c>
      <c r="BT22" s="103">
        <f>$BL$22*'Прогноз цен'!$G$34</f>
        <v>43.923000000000009</v>
      </c>
      <c r="BU22" s="103">
        <f>$BL$22*'Прогноз цен'!$G$34</f>
        <v>43.923000000000009</v>
      </c>
      <c r="BV22" s="103">
        <f>$BL$22*'Прогноз цен'!$G$34</f>
        <v>43.923000000000009</v>
      </c>
      <c r="BW22" s="103">
        <f>$BL$22*'Прогноз цен'!$G$34</f>
        <v>43.923000000000009</v>
      </c>
      <c r="BX22" s="103">
        <f>$BL$22*'Прогноз цен'!$G$34</f>
        <v>43.923000000000009</v>
      </c>
      <c r="BY22" s="103">
        <f>$BX$22*'Прогноз цен'!$H$34</f>
        <v>48.315300000000015</v>
      </c>
      <c r="BZ22" s="103">
        <f>$BX$22*'Прогноз цен'!$H$34</f>
        <v>48.315300000000015</v>
      </c>
      <c r="CA22" s="103">
        <f>$BX$22*'Прогноз цен'!$H$34</f>
        <v>48.315300000000015</v>
      </c>
      <c r="CB22" s="103">
        <f>$BX$22*'Прогноз цен'!$H$34</f>
        <v>48.315300000000015</v>
      </c>
      <c r="CC22" s="103">
        <f>$BX$22*'Прогноз цен'!$H$34</f>
        <v>48.315300000000015</v>
      </c>
      <c r="CD22" s="103">
        <f>$BX$22*'Прогноз цен'!$H$34</f>
        <v>48.315300000000015</v>
      </c>
      <c r="CE22" s="103">
        <f>$BX$22*'Прогноз цен'!$H$34</f>
        <v>48.315300000000015</v>
      </c>
      <c r="CF22" s="103">
        <f>$BX$22*'Прогноз цен'!$H$34</f>
        <v>48.315300000000015</v>
      </c>
      <c r="CG22" s="103">
        <f>$BX$22*'Прогноз цен'!$H$34</f>
        <v>48.315300000000015</v>
      </c>
      <c r="CH22" s="103">
        <f>$BX$22*'Прогноз цен'!$H$34</f>
        <v>48.315300000000015</v>
      </c>
      <c r="CI22" s="103">
        <f>$BX$22*'Прогноз цен'!$H$34</f>
        <v>48.315300000000015</v>
      </c>
      <c r="CJ22" s="103">
        <f>$BX$22*'Прогноз цен'!$H$34</f>
        <v>48.315300000000015</v>
      </c>
      <c r="CK22" s="103">
        <f>$CJ$22*'Прогноз цен'!$I$34</f>
        <v>53.146830000000023</v>
      </c>
      <c r="CL22" s="103">
        <f>$CJ$22*'Прогноз цен'!$I$34</f>
        <v>53.146830000000023</v>
      </c>
      <c r="CM22" s="103">
        <f>$CJ$22*'Прогноз цен'!$I$34</f>
        <v>53.146830000000023</v>
      </c>
      <c r="CN22" s="103">
        <f>$CJ$22*'Прогноз цен'!$I$34</f>
        <v>53.146830000000023</v>
      </c>
      <c r="CO22" s="103">
        <f>$CJ$22*'Прогноз цен'!$I$34</f>
        <v>53.146830000000023</v>
      </c>
      <c r="CP22" s="103">
        <f>$CJ$22*'Прогноз цен'!$I$34</f>
        <v>53.146830000000023</v>
      </c>
      <c r="CQ22" s="103">
        <f>$CJ$22*'Прогноз цен'!$I$34</f>
        <v>53.146830000000023</v>
      </c>
      <c r="CR22" s="103">
        <f>$CJ$22*'Прогноз цен'!$I$34</f>
        <v>53.146830000000023</v>
      </c>
      <c r="CS22" s="103">
        <f>$CJ$22*'Прогноз цен'!$I$34</f>
        <v>53.146830000000023</v>
      </c>
      <c r="CT22" s="103">
        <f>$CJ$22*'Прогноз цен'!$I$34</f>
        <v>53.146830000000023</v>
      </c>
      <c r="CU22" s="103">
        <f>$CJ$22*'Прогноз цен'!$I$34</f>
        <v>53.146830000000023</v>
      </c>
      <c r="CV22" s="103">
        <f>$CJ$22*'Прогноз цен'!$I$34</f>
        <v>53.146830000000023</v>
      </c>
      <c r="CW22" s="103">
        <f>$CV$22*'Прогноз цен'!$J$34</f>
        <v>58.461513000000032</v>
      </c>
      <c r="CX22" s="103">
        <f>$CV$22*'Прогноз цен'!$J$34</f>
        <v>58.461513000000032</v>
      </c>
      <c r="CY22" s="103">
        <f>$CV$22*'Прогноз цен'!$J$34</f>
        <v>58.461513000000032</v>
      </c>
      <c r="CZ22" s="103">
        <f>$CV$22*'Прогноз цен'!$J$34</f>
        <v>58.461513000000032</v>
      </c>
      <c r="DA22" s="103">
        <f>$CV$22*'Прогноз цен'!$J$34</f>
        <v>58.461513000000032</v>
      </c>
      <c r="DB22" s="103">
        <f>$CV$22*'Прогноз цен'!$J$34</f>
        <v>58.461513000000032</v>
      </c>
      <c r="DC22" s="103">
        <f>$CV$22*'Прогноз цен'!$J$34</f>
        <v>58.461513000000032</v>
      </c>
      <c r="DD22" s="103">
        <f>$CV$22*'Прогноз цен'!$J$34</f>
        <v>58.461513000000032</v>
      </c>
      <c r="DE22" s="103">
        <f>$CV$22*'Прогноз цен'!$J$34</f>
        <v>58.461513000000032</v>
      </c>
      <c r="DF22" s="103">
        <f>$CV$22*'Прогноз цен'!$J$34</f>
        <v>58.461513000000032</v>
      </c>
      <c r="DG22" s="103">
        <f>$CV$22*'Прогноз цен'!$J$34</f>
        <v>58.461513000000032</v>
      </c>
      <c r="DH22" s="103">
        <f>$CV$22*'Прогноз цен'!$J$34</f>
        <v>58.461513000000032</v>
      </c>
      <c r="DI22" s="103">
        <f>$DH$22*'Прогноз цен'!$K$34</f>
        <v>64.307664300000042</v>
      </c>
      <c r="DJ22" s="103">
        <f>$DH$22*'Прогноз цен'!$K$34</f>
        <v>64.307664300000042</v>
      </c>
      <c r="DK22" s="103">
        <f>$DH$22*'Прогноз цен'!$K$34</f>
        <v>64.307664300000042</v>
      </c>
      <c r="DL22" s="103">
        <f>$DH$22*'Прогноз цен'!$K$34</f>
        <v>64.307664300000042</v>
      </c>
      <c r="DM22" s="103">
        <f>$DH$22*'Прогноз цен'!$K$34</f>
        <v>64.307664300000042</v>
      </c>
      <c r="DN22" s="103">
        <f>$DH$22*'Прогноз цен'!$K$34</f>
        <v>64.307664300000042</v>
      </c>
      <c r="DO22" s="103">
        <f>$DH$22*'Прогноз цен'!$K$34</f>
        <v>64.307664300000042</v>
      </c>
      <c r="DP22" s="103">
        <f>$DH$22*'Прогноз цен'!$K$34</f>
        <v>64.307664300000042</v>
      </c>
      <c r="DQ22" s="103">
        <f>$DH$22*'Прогноз цен'!$K$34</f>
        <v>64.307664300000042</v>
      </c>
      <c r="DR22" s="103">
        <f>$DH$22*'Прогноз цен'!$K$34</f>
        <v>64.307664300000042</v>
      </c>
      <c r="DS22" s="103">
        <f>$DH$22*'Прогноз цен'!$K$34</f>
        <v>64.307664300000042</v>
      </c>
      <c r="DT22" s="103">
        <f>$DH$22*'Прогноз цен'!$K$34</f>
        <v>64.307664300000042</v>
      </c>
    </row>
    <row r="23" spans="1:124" s="64" customFormat="1" ht="12.75" customHeight="1">
      <c r="A23" s="101" t="s">
        <v>146</v>
      </c>
      <c r="B23" s="340" t="s">
        <v>288</v>
      </c>
      <c r="C23" s="224">
        <v>3</v>
      </c>
      <c r="D23" s="223">
        <v>40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f>$D$23*Исх.данные!$B$106*'Прогноз цен'!$B$34</f>
        <v>120</v>
      </c>
      <c r="P23" s="103">
        <f>$D$23*Исх.данные!$B$106*'Прогноз цен'!$B$34</f>
        <v>120</v>
      </c>
      <c r="Q23" s="103">
        <f>$P$23*'Прогноз цен'!$C$34</f>
        <v>120</v>
      </c>
      <c r="R23" s="103">
        <f>$P$23*'Прогноз цен'!$C$34</f>
        <v>120</v>
      </c>
      <c r="S23" s="103">
        <f>$P$23*'Прогноз цен'!$C$34</f>
        <v>120</v>
      </c>
      <c r="T23" s="103">
        <f>$P$23*'Прогноз цен'!$C$34</f>
        <v>120</v>
      </c>
      <c r="U23" s="103">
        <f>$P$23*'Прогноз цен'!$C$34</f>
        <v>120</v>
      </c>
      <c r="V23" s="103">
        <f>$P$23*'Прогноз цен'!$C$34</f>
        <v>120</v>
      </c>
      <c r="W23" s="103">
        <f>$P$23*'Прогноз цен'!$C$34</f>
        <v>120</v>
      </c>
      <c r="X23" s="103">
        <f>$P$23*'Прогноз цен'!$C$34</f>
        <v>120</v>
      </c>
      <c r="Y23" s="103">
        <f>$P$23*'Прогноз цен'!$C$34</f>
        <v>120</v>
      </c>
      <c r="Z23" s="103">
        <f>$P$23*'Прогноз цен'!$C$34</f>
        <v>120</v>
      </c>
      <c r="AA23" s="103">
        <f>$P$23*'Прогноз цен'!$C$34</f>
        <v>120</v>
      </c>
      <c r="AB23" s="103">
        <f>$P$23*'Прогноз цен'!$C$34</f>
        <v>120</v>
      </c>
      <c r="AC23" s="103">
        <f>$AB$23*'Прогноз цен'!$D$34</f>
        <v>132</v>
      </c>
      <c r="AD23" s="103">
        <f>$AB$23*'Прогноз цен'!$D$34</f>
        <v>132</v>
      </c>
      <c r="AE23" s="103">
        <f>$AB$23*'Прогноз цен'!$D$34</f>
        <v>132</v>
      </c>
      <c r="AF23" s="103">
        <f>$AB$23*'Прогноз цен'!$D$34</f>
        <v>132</v>
      </c>
      <c r="AG23" s="103">
        <f>$AB$23*'Прогноз цен'!$D$34</f>
        <v>132</v>
      </c>
      <c r="AH23" s="103">
        <f>$AB$23*'Прогноз цен'!$D$34</f>
        <v>132</v>
      </c>
      <c r="AI23" s="103">
        <f>$AB$23*'Прогноз цен'!$D$34</f>
        <v>132</v>
      </c>
      <c r="AJ23" s="103">
        <f>$AB$23*'Прогноз цен'!$D$34</f>
        <v>132</v>
      </c>
      <c r="AK23" s="103">
        <f>$AB$23*'Прогноз цен'!$D$34</f>
        <v>132</v>
      </c>
      <c r="AL23" s="103">
        <f>$AB$23*'Прогноз цен'!$D$34</f>
        <v>132</v>
      </c>
      <c r="AM23" s="103">
        <f>$AB$23*'Прогноз цен'!$D$34</f>
        <v>132</v>
      </c>
      <c r="AN23" s="103">
        <f>$AB$23*'Прогноз цен'!$D$34</f>
        <v>132</v>
      </c>
      <c r="AO23" s="103">
        <f>$AN$23*'Прогноз цен'!$E$34</f>
        <v>145.20000000000002</v>
      </c>
      <c r="AP23" s="103">
        <f>$AN$23*'Прогноз цен'!$E$34</f>
        <v>145.20000000000002</v>
      </c>
      <c r="AQ23" s="103">
        <f>$AN$23*'Прогноз цен'!$E$34</f>
        <v>145.20000000000002</v>
      </c>
      <c r="AR23" s="103">
        <f>$AN$23*'Прогноз цен'!$E$34</f>
        <v>145.20000000000002</v>
      </c>
      <c r="AS23" s="103">
        <f>$AN$23*'Прогноз цен'!$E$34</f>
        <v>145.20000000000002</v>
      </c>
      <c r="AT23" s="103">
        <f>$AN$23*'Прогноз цен'!$E$34</f>
        <v>145.20000000000002</v>
      </c>
      <c r="AU23" s="103">
        <f>$AN$23*'Прогноз цен'!$E$34</f>
        <v>145.20000000000002</v>
      </c>
      <c r="AV23" s="103">
        <f>$AN$23*'Прогноз цен'!$E$34</f>
        <v>145.20000000000002</v>
      </c>
      <c r="AW23" s="103">
        <f>$AN$23*'Прогноз цен'!$E$34</f>
        <v>145.20000000000002</v>
      </c>
      <c r="AX23" s="103">
        <f>$AN$23*'Прогноз цен'!$E$34</f>
        <v>145.20000000000002</v>
      </c>
      <c r="AY23" s="103">
        <f>$AN$23*'Прогноз цен'!$E$34</f>
        <v>145.20000000000002</v>
      </c>
      <c r="AZ23" s="103">
        <f>$AN$23*'Прогноз цен'!$E$34</f>
        <v>145.20000000000002</v>
      </c>
      <c r="BA23" s="103">
        <f>$AZ$23*'Прогноз цен'!$F$34</f>
        <v>159.72000000000003</v>
      </c>
      <c r="BB23" s="103">
        <f>$AZ$23*'Прогноз цен'!$F$34</f>
        <v>159.72000000000003</v>
      </c>
      <c r="BC23" s="103">
        <f>$AZ$23*'Прогноз цен'!$F$34</f>
        <v>159.72000000000003</v>
      </c>
      <c r="BD23" s="103">
        <f>$AZ$23*'Прогноз цен'!$F$34</f>
        <v>159.72000000000003</v>
      </c>
      <c r="BE23" s="103">
        <f>$AZ$23*'Прогноз цен'!$F$34</f>
        <v>159.72000000000003</v>
      </c>
      <c r="BF23" s="103">
        <f>$AZ$23*'Прогноз цен'!$F$34</f>
        <v>159.72000000000003</v>
      </c>
      <c r="BG23" s="103">
        <f>$AZ$23*'Прогноз цен'!$F$34</f>
        <v>159.72000000000003</v>
      </c>
      <c r="BH23" s="103">
        <f>$AZ$23*'Прогноз цен'!$F$34</f>
        <v>159.72000000000003</v>
      </c>
      <c r="BI23" s="103">
        <f>$AZ$23*'Прогноз цен'!$F$34</f>
        <v>159.72000000000003</v>
      </c>
      <c r="BJ23" s="103">
        <f>$AZ$23*'Прогноз цен'!$F$34</f>
        <v>159.72000000000003</v>
      </c>
      <c r="BK23" s="103">
        <f>$AZ$23*'Прогноз цен'!$F$34</f>
        <v>159.72000000000003</v>
      </c>
      <c r="BL23" s="103">
        <f>$AZ$23*'Прогноз цен'!$F$34</f>
        <v>159.72000000000003</v>
      </c>
      <c r="BM23" s="103">
        <f>$BL$23*'Прогноз цен'!$G$34</f>
        <v>175.69200000000004</v>
      </c>
      <c r="BN23" s="103">
        <f>$BL$23*'Прогноз цен'!$G$34</f>
        <v>175.69200000000004</v>
      </c>
      <c r="BO23" s="103">
        <f>$BL$23*'Прогноз цен'!$G$34</f>
        <v>175.69200000000004</v>
      </c>
      <c r="BP23" s="103">
        <f>$BL$23*'Прогноз цен'!$G$34</f>
        <v>175.69200000000004</v>
      </c>
      <c r="BQ23" s="103">
        <f>$BL$23*'Прогноз цен'!$G$34</f>
        <v>175.69200000000004</v>
      </c>
      <c r="BR23" s="103">
        <f>$BL$23*'Прогноз цен'!$G$34</f>
        <v>175.69200000000004</v>
      </c>
      <c r="BS23" s="103">
        <f>$BL$23*'Прогноз цен'!$G$34</f>
        <v>175.69200000000004</v>
      </c>
      <c r="BT23" s="103">
        <f>$BL$23*'Прогноз цен'!$G$34</f>
        <v>175.69200000000004</v>
      </c>
      <c r="BU23" s="103">
        <f>$BL$23*'Прогноз цен'!$G$34</f>
        <v>175.69200000000004</v>
      </c>
      <c r="BV23" s="103">
        <f>$BL$23*'Прогноз цен'!$G$34</f>
        <v>175.69200000000004</v>
      </c>
      <c r="BW23" s="103">
        <f>$BL$23*'Прогноз цен'!$G$34</f>
        <v>175.69200000000004</v>
      </c>
      <c r="BX23" s="103">
        <f>$BL$23*'Прогноз цен'!$G$34</f>
        <v>175.69200000000004</v>
      </c>
      <c r="BY23" s="103">
        <f>$BX$23*'Прогноз цен'!$H$34</f>
        <v>193.26120000000006</v>
      </c>
      <c r="BZ23" s="103">
        <f>$BX$23*'Прогноз цен'!$H$34</f>
        <v>193.26120000000006</v>
      </c>
      <c r="CA23" s="103">
        <f>$BX$23*'Прогноз цен'!$H$34</f>
        <v>193.26120000000006</v>
      </c>
      <c r="CB23" s="103">
        <f>$BX$23*'Прогноз цен'!$H$34</f>
        <v>193.26120000000006</v>
      </c>
      <c r="CC23" s="103">
        <f>$BX$23*'Прогноз цен'!$H$34</f>
        <v>193.26120000000006</v>
      </c>
      <c r="CD23" s="103">
        <f>$BX$23*'Прогноз цен'!$H$34</f>
        <v>193.26120000000006</v>
      </c>
      <c r="CE23" s="103">
        <f>$BX$23*'Прогноз цен'!$H$34</f>
        <v>193.26120000000006</v>
      </c>
      <c r="CF23" s="103">
        <f>$BX$23*'Прогноз цен'!$H$34</f>
        <v>193.26120000000006</v>
      </c>
      <c r="CG23" s="103">
        <f>$BX$23*'Прогноз цен'!$H$34</f>
        <v>193.26120000000006</v>
      </c>
      <c r="CH23" s="103">
        <f>$BX$23*'Прогноз цен'!$H$34</f>
        <v>193.26120000000006</v>
      </c>
      <c r="CI23" s="103">
        <f>$BX$23*'Прогноз цен'!$H$34</f>
        <v>193.26120000000006</v>
      </c>
      <c r="CJ23" s="103">
        <f>$BX$23*'Прогноз цен'!$H$34</f>
        <v>193.26120000000006</v>
      </c>
      <c r="CK23" s="103">
        <f>$CJ$23*'Прогноз цен'!$I$34</f>
        <v>212.58732000000009</v>
      </c>
      <c r="CL23" s="103">
        <f>$CJ$23*'Прогноз цен'!$I$34</f>
        <v>212.58732000000009</v>
      </c>
      <c r="CM23" s="103">
        <f>$CJ$23*'Прогноз цен'!$I$34</f>
        <v>212.58732000000009</v>
      </c>
      <c r="CN23" s="103">
        <f>$CJ$23*'Прогноз цен'!$I$34</f>
        <v>212.58732000000009</v>
      </c>
      <c r="CO23" s="103">
        <f>$CJ$23*'Прогноз цен'!$I$34</f>
        <v>212.58732000000009</v>
      </c>
      <c r="CP23" s="103">
        <f>$CJ$23*'Прогноз цен'!$I$34</f>
        <v>212.58732000000009</v>
      </c>
      <c r="CQ23" s="103">
        <f>$CJ$23*'Прогноз цен'!$I$34</f>
        <v>212.58732000000009</v>
      </c>
      <c r="CR23" s="103">
        <f>$CJ$23*'Прогноз цен'!$I$34</f>
        <v>212.58732000000009</v>
      </c>
      <c r="CS23" s="103">
        <f>$CJ$23*'Прогноз цен'!$I$34</f>
        <v>212.58732000000009</v>
      </c>
      <c r="CT23" s="103">
        <f>$CJ$23*'Прогноз цен'!$I$34</f>
        <v>212.58732000000009</v>
      </c>
      <c r="CU23" s="103">
        <f>$CJ$23*'Прогноз цен'!$I$34</f>
        <v>212.58732000000009</v>
      </c>
      <c r="CV23" s="103">
        <f>$CJ$23*'Прогноз цен'!$I$34</f>
        <v>212.58732000000009</v>
      </c>
      <c r="CW23" s="103">
        <f>$CV$23*'Прогноз цен'!$J$34</f>
        <v>233.84605200000013</v>
      </c>
      <c r="CX23" s="103">
        <f>$CV$23*'Прогноз цен'!$J$34</f>
        <v>233.84605200000013</v>
      </c>
      <c r="CY23" s="103">
        <f>$CV$23*'Прогноз цен'!$J$34</f>
        <v>233.84605200000013</v>
      </c>
      <c r="CZ23" s="103">
        <f>$CV$23*'Прогноз цен'!$J$34</f>
        <v>233.84605200000013</v>
      </c>
      <c r="DA23" s="103">
        <f>$CV$23*'Прогноз цен'!$J$34</f>
        <v>233.84605200000013</v>
      </c>
      <c r="DB23" s="103">
        <f>$CV$23*'Прогноз цен'!$J$34</f>
        <v>233.84605200000013</v>
      </c>
      <c r="DC23" s="103">
        <f>$CV$23*'Прогноз цен'!$J$34</f>
        <v>233.84605200000013</v>
      </c>
      <c r="DD23" s="103">
        <f>$CV$23*'Прогноз цен'!$J$34</f>
        <v>233.84605200000013</v>
      </c>
      <c r="DE23" s="103">
        <f>$CV$23*'Прогноз цен'!$J$34</f>
        <v>233.84605200000013</v>
      </c>
      <c r="DF23" s="103">
        <f>$CV$23*'Прогноз цен'!$J$34</f>
        <v>233.84605200000013</v>
      </c>
      <c r="DG23" s="103">
        <f>$CV$23*'Прогноз цен'!$J$34</f>
        <v>233.84605200000013</v>
      </c>
      <c r="DH23" s="103">
        <f>$CV$23*'Прогноз цен'!$J$34</f>
        <v>233.84605200000013</v>
      </c>
      <c r="DI23" s="103">
        <f>$DH$23*'Прогноз цен'!$K$34</f>
        <v>257.23065720000017</v>
      </c>
      <c r="DJ23" s="103">
        <f>$DH$23*'Прогноз цен'!$K$34</f>
        <v>257.23065720000017</v>
      </c>
      <c r="DK23" s="103">
        <f>$DH$23*'Прогноз цен'!$K$34</f>
        <v>257.23065720000017</v>
      </c>
      <c r="DL23" s="103">
        <f>$DH$23*'Прогноз цен'!$K$34</f>
        <v>257.23065720000017</v>
      </c>
      <c r="DM23" s="103">
        <f>$DH$23*'Прогноз цен'!$K$34</f>
        <v>257.23065720000017</v>
      </c>
      <c r="DN23" s="103">
        <f>$DH$23*'Прогноз цен'!$K$34</f>
        <v>257.23065720000017</v>
      </c>
      <c r="DO23" s="103">
        <f>$DH$23*'Прогноз цен'!$K$34</f>
        <v>257.23065720000017</v>
      </c>
      <c r="DP23" s="103">
        <f>$DH$23*'Прогноз цен'!$K$34</f>
        <v>257.23065720000017</v>
      </c>
      <c r="DQ23" s="103">
        <f>$DH$23*'Прогноз цен'!$K$34</f>
        <v>257.23065720000017</v>
      </c>
      <c r="DR23" s="103">
        <f>$DH$23*'Прогноз цен'!$K$34</f>
        <v>257.23065720000017</v>
      </c>
      <c r="DS23" s="103">
        <f>$DH$23*'Прогноз цен'!$K$34</f>
        <v>257.23065720000017</v>
      </c>
      <c r="DT23" s="103">
        <f>$DH$23*'Прогноз цен'!$K$34</f>
        <v>257.23065720000017</v>
      </c>
    </row>
    <row r="24" spans="1:124" s="64" customFormat="1" ht="12.75" customHeight="1">
      <c r="A24" s="108"/>
      <c r="B24" s="109" t="s">
        <v>8</v>
      </c>
      <c r="C24" s="110">
        <f>C4+C13+C21</f>
        <v>35</v>
      </c>
      <c r="D24" s="110"/>
      <c r="E24" s="110">
        <f t="shared" ref="E24:BG24" si="10">E4+E13+E21</f>
        <v>0</v>
      </c>
      <c r="F24" s="110">
        <f t="shared" si="10"/>
        <v>0</v>
      </c>
      <c r="G24" s="110">
        <f t="shared" si="10"/>
        <v>0</v>
      </c>
      <c r="H24" s="110">
        <f t="shared" si="10"/>
        <v>0</v>
      </c>
      <c r="I24" s="110">
        <f t="shared" si="10"/>
        <v>0</v>
      </c>
      <c r="J24" s="110">
        <f t="shared" si="10"/>
        <v>0</v>
      </c>
      <c r="K24" s="110">
        <f t="shared" si="10"/>
        <v>0</v>
      </c>
      <c r="L24" s="110">
        <f t="shared" si="10"/>
        <v>0</v>
      </c>
      <c r="M24" s="110">
        <f t="shared" si="10"/>
        <v>0</v>
      </c>
      <c r="N24" s="110">
        <f t="shared" si="10"/>
        <v>0</v>
      </c>
      <c r="O24" s="110">
        <f t="shared" si="10"/>
        <v>1846</v>
      </c>
      <c r="P24" s="110">
        <f t="shared" si="10"/>
        <v>1846</v>
      </c>
      <c r="Q24" s="110">
        <f t="shared" si="10"/>
        <v>1846</v>
      </c>
      <c r="R24" s="110">
        <f t="shared" si="10"/>
        <v>1846</v>
      </c>
      <c r="S24" s="110">
        <f t="shared" si="10"/>
        <v>1846</v>
      </c>
      <c r="T24" s="110">
        <f t="shared" si="10"/>
        <v>1846</v>
      </c>
      <c r="U24" s="110">
        <f t="shared" si="10"/>
        <v>1846</v>
      </c>
      <c r="V24" s="110">
        <f t="shared" si="10"/>
        <v>1846</v>
      </c>
      <c r="W24" s="110">
        <f t="shared" si="10"/>
        <v>1846</v>
      </c>
      <c r="X24" s="110">
        <f t="shared" si="10"/>
        <v>1846</v>
      </c>
      <c r="Y24" s="110">
        <f t="shared" si="10"/>
        <v>1846</v>
      </c>
      <c r="Z24" s="110">
        <f t="shared" si="10"/>
        <v>1846</v>
      </c>
      <c r="AA24" s="110">
        <f t="shared" si="10"/>
        <v>1846</v>
      </c>
      <c r="AB24" s="110">
        <f t="shared" si="10"/>
        <v>2367</v>
      </c>
      <c r="AC24" s="110">
        <f t="shared" si="10"/>
        <v>2603.7000000000003</v>
      </c>
      <c r="AD24" s="110">
        <f t="shared" si="10"/>
        <v>2603.7000000000003</v>
      </c>
      <c r="AE24" s="110">
        <f t="shared" si="10"/>
        <v>2603.7000000000003</v>
      </c>
      <c r="AF24" s="110">
        <f t="shared" si="10"/>
        <v>2603.7000000000003</v>
      </c>
      <c r="AG24" s="110">
        <f t="shared" si="10"/>
        <v>2603.7000000000003</v>
      </c>
      <c r="AH24" s="110">
        <f t="shared" si="10"/>
        <v>2603.7000000000003</v>
      </c>
      <c r="AI24" s="110">
        <f t="shared" si="10"/>
        <v>2603.7000000000003</v>
      </c>
      <c r="AJ24" s="110">
        <f t="shared" si="10"/>
        <v>2603.7000000000003</v>
      </c>
      <c r="AK24" s="110">
        <f t="shared" si="10"/>
        <v>2603.7000000000003</v>
      </c>
      <c r="AL24" s="110">
        <f t="shared" si="10"/>
        <v>2603.7000000000003</v>
      </c>
      <c r="AM24" s="110">
        <f t="shared" si="10"/>
        <v>2603.7000000000003</v>
      </c>
      <c r="AN24" s="110">
        <f t="shared" si="10"/>
        <v>2603.7000000000003</v>
      </c>
      <c r="AO24" s="110">
        <f t="shared" si="10"/>
        <v>2864.0700000000006</v>
      </c>
      <c r="AP24" s="110">
        <f t="shared" si="10"/>
        <v>2864.0700000000006</v>
      </c>
      <c r="AQ24" s="110">
        <f t="shared" si="10"/>
        <v>2864.0700000000006</v>
      </c>
      <c r="AR24" s="110">
        <f t="shared" si="10"/>
        <v>2864.0700000000006</v>
      </c>
      <c r="AS24" s="110">
        <f t="shared" si="10"/>
        <v>2864.0700000000006</v>
      </c>
      <c r="AT24" s="110">
        <f t="shared" si="10"/>
        <v>2864.0700000000006</v>
      </c>
      <c r="AU24" s="110">
        <f t="shared" si="10"/>
        <v>2864.0700000000006</v>
      </c>
      <c r="AV24" s="110">
        <f t="shared" si="10"/>
        <v>2864.0700000000006</v>
      </c>
      <c r="AW24" s="110">
        <f t="shared" si="10"/>
        <v>2864.0700000000006</v>
      </c>
      <c r="AX24" s="110">
        <f t="shared" si="10"/>
        <v>2864.0700000000006</v>
      </c>
      <c r="AY24" s="110">
        <f t="shared" si="10"/>
        <v>2864.0700000000006</v>
      </c>
      <c r="AZ24" s="110">
        <f t="shared" si="10"/>
        <v>2864.0700000000006</v>
      </c>
      <c r="BA24" s="110">
        <f t="shared" si="10"/>
        <v>3150.4770000000008</v>
      </c>
      <c r="BB24" s="110">
        <f t="shared" si="10"/>
        <v>3150.4770000000008</v>
      </c>
      <c r="BC24" s="110">
        <f t="shared" si="10"/>
        <v>3150.4770000000008</v>
      </c>
      <c r="BD24" s="110">
        <f t="shared" si="10"/>
        <v>3150.4770000000008</v>
      </c>
      <c r="BE24" s="110">
        <f t="shared" si="10"/>
        <v>3150.4770000000008</v>
      </c>
      <c r="BF24" s="110">
        <f t="shared" si="10"/>
        <v>3150.4770000000008</v>
      </c>
      <c r="BG24" s="110">
        <f t="shared" si="10"/>
        <v>3150.4770000000008</v>
      </c>
      <c r="BH24" s="110">
        <f t="shared" ref="BH24:DS24" si="11">BH4+BH13+BH21</f>
        <v>3150.4770000000008</v>
      </c>
      <c r="BI24" s="110">
        <f t="shared" si="11"/>
        <v>3150.4770000000008</v>
      </c>
      <c r="BJ24" s="110">
        <f t="shared" si="11"/>
        <v>3150.4770000000008</v>
      </c>
      <c r="BK24" s="110">
        <f t="shared" si="11"/>
        <v>3150.4770000000008</v>
      </c>
      <c r="BL24" s="110">
        <f t="shared" si="11"/>
        <v>3150.4770000000008</v>
      </c>
      <c r="BM24" s="110">
        <f t="shared" si="11"/>
        <v>3465.5247000000013</v>
      </c>
      <c r="BN24" s="110">
        <f t="shared" si="11"/>
        <v>3465.5247000000013</v>
      </c>
      <c r="BO24" s="110">
        <f t="shared" si="11"/>
        <v>3465.5247000000013</v>
      </c>
      <c r="BP24" s="110">
        <f t="shared" si="11"/>
        <v>3465.5247000000013</v>
      </c>
      <c r="BQ24" s="110">
        <f t="shared" si="11"/>
        <v>3465.5247000000013</v>
      </c>
      <c r="BR24" s="110">
        <f t="shared" si="11"/>
        <v>3465.5247000000013</v>
      </c>
      <c r="BS24" s="110">
        <f t="shared" si="11"/>
        <v>3465.5247000000013</v>
      </c>
      <c r="BT24" s="110">
        <f t="shared" si="11"/>
        <v>3465.5247000000013</v>
      </c>
      <c r="BU24" s="110">
        <f t="shared" si="11"/>
        <v>3465.5247000000013</v>
      </c>
      <c r="BV24" s="110">
        <f t="shared" si="11"/>
        <v>3465.5247000000013</v>
      </c>
      <c r="BW24" s="110">
        <f t="shared" si="11"/>
        <v>3465.5247000000013</v>
      </c>
      <c r="BX24" s="110">
        <f t="shared" si="11"/>
        <v>3465.5247000000013</v>
      </c>
      <c r="BY24" s="110">
        <f t="shared" si="11"/>
        <v>3812.0771700000014</v>
      </c>
      <c r="BZ24" s="110">
        <f t="shared" si="11"/>
        <v>3812.0771700000014</v>
      </c>
      <c r="CA24" s="110">
        <f t="shared" si="11"/>
        <v>3812.0771700000014</v>
      </c>
      <c r="CB24" s="110">
        <f t="shared" si="11"/>
        <v>3812.0771700000014</v>
      </c>
      <c r="CC24" s="110">
        <f t="shared" si="11"/>
        <v>3812.0771700000014</v>
      </c>
      <c r="CD24" s="110">
        <f t="shared" si="11"/>
        <v>3812.0771700000014</v>
      </c>
      <c r="CE24" s="110">
        <f t="shared" si="11"/>
        <v>3812.0771700000014</v>
      </c>
      <c r="CF24" s="110">
        <f t="shared" si="11"/>
        <v>3812.0771700000014</v>
      </c>
      <c r="CG24" s="110">
        <f t="shared" si="11"/>
        <v>3812.0771700000014</v>
      </c>
      <c r="CH24" s="110">
        <f t="shared" si="11"/>
        <v>3812.0771700000014</v>
      </c>
      <c r="CI24" s="110">
        <f t="shared" si="11"/>
        <v>3812.0771700000014</v>
      </c>
      <c r="CJ24" s="110">
        <f t="shared" si="11"/>
        <v>3812.0771700000014</v>
      </c>
      <c r="CK24" s="110">
        <f t="shared" si="11"/>
        <v>4193.2848870000025</v>
      </c>
      <c r="CL24" s="110">
        <f t="shared" si="11"/>
        <v>4193.2848870000025</v>
      </c>
      <c r="CM24" s="110">
        <f t="shared" si="11"/>
        <v>4193.2848870000025</v>
      </c>
      <c r="CN24" s="110">
        <f t="shared" si="11"/>
        <v>4193.2848870000025</v>
      </c>
      <c r="CO24" s="110">
        <f t="shared" si="11"/>
        <v>4193.2848870000025</v>
      </c>
      <c r="CP24" s="110">
        <f t="shared" si="11"/>
        <v>4193.2848870000025</v>
      </c>
      <c r="CQ24" s="110">
        <f t="shared" si="11"/>
        <v>4193.2848870000025</v>
      </c>
      <c r="CR24" s="110">
        <f t="shared" si="11"/>
        <v>4193.2848870000025</v>
      </c>
      <c r="CS24" s="110">
        <f t="shared" si="11"/>
        <v>4193.2848870000025</v>
      </c>
      <c r="CT24" s="110">
        <f t="shared" si="11"/>
        <v>4193.2848870000025</v>
      </c>
      <c r="CU24" s="110">
        <f t="shared" si="11"/>
        <v>4193.2848870000025</v>
      </c>
      <c r="CV24" s="110">
        <f t="shared" si="11"/>
        <v>4193.2848870000025</v>
      </c>
      <c r="CW24" s="110">
        <f t="shared" si="11"/>
        <v>4612.6133757000025</v>
      </c>
      <c r="CX24" s="110">
        <f t="shared" si="11"/>
        <v>4612.6133757000025</v>
      </c>
      <c r="CY24" s="110">
        <f t="shared" si="11"/>
        <v>4612.6133757000025</v>
      </c>
      <c r="CZ24" s="110">
        <f t="shared" si="11"/>
        <v>4612.6133757000025</v>
      </c>
      <c r="DA24" s="110">
        <f t="shared" si="11"/>
        <v>4612.6133757000025</v>
      </c>
      <c r="DB24" s="110">
        <f t="shared" si="11"/>
        <v>4612.6133757000025</v>
      </c>
      <c r="DC24" s="110">
        <f t="shared" si="11"/>
        <v>4612.6133757000025</v>
      </c>
      <c r="DD24" s="110">
        <f t="shared" si="11"/>
        <v>4612.6133757000025</v>
      </c>
      <c r="DE24" s="110">
        <f t="shared" si="11"/>
        <v>4612.6133757000025</v>
      </c>
      <c r="DF24" s="110">
        <f t="shared" si="11"/>
        <v>4612.6133757000025</v>
      </c>
      <c r="DG24" s="110">
        <f t="shared" si="11"/>
        <v>4612.6133757000025</v>
      </c>
      <c r="DH24" s="110">
        <f t="shared" si="11"/>
        <v>4612.6133757000025</v>
      </c>
      <c r="DI24" s="110">
        <f t="shared" si="11"/>
        <v>5073.8747132700028</v>
      </c>
      <c r="DJ24" s="110">
        <f t="shared" si="11"/>
        <v>5073.8747132700028</v>
      </c>
      <c r="DK24" s="110">
        <f t="shared" si="11"/>
        <v>5073.8747132700028</v>
      </c>
      <c r="DL24" s="110">
        <f t="shared" si="11"/>
        <v>5073.8747132700028</v>
      </c>
      <c r="DM24" s="110">
        <f t="shared" si="11"/>
        <v>5073.8747132700028</v>
      </c>
      <c r="DN24" s="110">
        <f t="shared" si="11"/>
        <v>5073.8747132700028</v>
      </c>
      <c r="DO24" s="110">
        <f t="shared" si="11"/>
        <v>5073.8747132700028</v>
      </c>
      <c r="DP24" s="110">
        <f t="shared" si="11"/>
        <v>5073.8747132700028</v>
      </c>
      <c r="DQ24" s="110">
        <f t="shared" si="11"/>
        <v>5073.8747132700028</v>
      </c>
      <c r="DR24" s="110">
        <f t="shared" si="11"/>
        <v>5073.8747132700028</v>
      </c>
      <c r="DS24" s="110">
        <f t="shared" si="11"/>
        <v>5073.8747132700028</v>
      </c>
      <c r="DT24" s="110">
        <f t="shared" ref="DT24" si="12">DT4+DT13+DT21</f>
        <v>5073.8747132700028</v>
      </c>
    </row>
    <row r="25" spans="1:124" s="64" customFormat="1" ht="15" customHeight="1">
      <c r="C25" s="82"/>
      <c r="D25" s="82"/>
      <c r="E25" s="82"/>
      <c r="F25" s="82"/>
      <c r="G25" s="58"/>
      <c r="H25" s="58"/>
      <c r="I25" s="58"/>
      <c r="J25" s="58"/>
      <c r="K25" s="58"/>
      <c r="L25" s="58"/>
      <c r="O25" s="58"/>
    </row>
    <row r="26" spans="1:124" s="64" customFormat="1" ht="12.75" customHeight="1">
      <c r="C26" s="82"/>
      <c r="D26" s="82"/>
      <c r="E26" s="82"/>
      <c r="F26" s="82"/>
    </row>
    <row r="27" spans="1:124" s="64" customFormat="1" ht="12.75" customHeight="1">
      <c r="C27" s="82"/>
      <c r="D27" s="82"/>
      <c r="E27" s="82"/>
      <c r="F27" s="82"/>
      <c r="G27" s="82"/>
    </row>
    <row r="28" spans="1:124" s="64" customFormat="1" ht="15" customHeight="1">
      <c r="C28" s="82"/>
      <c r="D28" s="82"/>
    </row>
    <row r="29" spans="1:124" ht="12.75" customHeight="1">
      <c r="A29" s="94" t="s">
        <v>18</v>
      </c>
      <c r="B29" s="94" t="s">
        <v>164</v>
      </c>
      <c r="C29" s="124">
        <v>2023</v>
      </c>
      <c r="D29" s="124">
        <v>2024</v>
      </c>
      <c r="E29" s="124">
        <v>2025</v>
      </c>
      <c r="F29" s="124">
        <v>2026</v>
      </c>
      <c r="G29" s="124">
        <v>2027</v>
      </c>
      <c r="H29" s="124">
        <v>2028</v>
      </c>
      <c r="I29" s="124">
        <v>2029</v>
      </c>
      <c r="J29" s="124">
        <v>2030</v>
      </c>
      <c r="K29" s="124">
        <v>2031</v>
      </c>
      <c r="L29" s="124">
        <v>2032</v>
      </c>
    </row>
    <row r="30" spans="1:124" ht="12.75" customHeight="1">
      <c r="A30" s="108">
        <v>1</v>
      </c>
      <c r="B30" s="109" t="s">
        <v>221</v>
      </c>
      <c r="C30" s="110">
        <f t="shared" ref="C30:C50" si="13">SUM(E4:P4)</f>
        <v>2282</v>
      </c>
      <c r="D30" s="110">
        <f t="shared" ref="D30:D49" si="14">SUM(Q4:AB4)</f>
        <v>13692</v>
      </c>
      <c r="E30" s="110">
        <f t="shared" ref="E30:E50" si="15">SUM(AC4:AN4)</f>
        <v>15061.200000000003</v>
      </c>
      <c r="F30" s="110">
        <f t="shared" ref="F30:F50" si="16">SUM(AO4:AZ4)</f>
        <v>16567.320000000003</v>
      </c>
      <c r="G30" s="110">
        <f t="shared" ref="G30:G50" si="17">SUM(BA4:BL4)</f>
        <v>18224.052000000003</v>
      </c>
      <c r="H30" s="110">
        <f t="shared" ref="H30:H50" si="18">SUM(BM4:BX4)</f>
        <v>20046.457200000015</v>
      </c>
      <c r="I30" s="110">
        <f t="shared" ref="I30:I50" si="19">SUM(BY4:CJ4)</f>
        <v>22051.102920000005</v>
      </c>
      <c r="J30" s="110">
        <f t="shared" ref="J30:J50" si="20">SUM(CK4:CV4)</f>
        <v>24256.213212000006</v>
      </c>
      <c r="K30" s="110">
        <f t="shared" ref="K30:K50" si="21">SUM(CW4:DH4)</f>
        <v>26681.834533200006</v>
      </c>
      <c r="L30" s="110">
        <f t="shared" ref="L30:L50" si="22">SUM(DI4:DT4)</f>
        <v>29350.017986520023</v>
      </c>
    </row>
    <row r="31" spans="1:124" ht="12.75" customHeight="1">
      <c r="A31" s="101" t="s">
        <v>37</v>
      </c>
      <c r="B31" s="102" t="str">
        <f t="shared" ref="B31:B49" si="23">B5</f>
        <v>Директор производства</v>
      </c>
      <c r="C31" s="72">
        <f>SUM(E5:P5)</f>
        <v>340</v>
      </c>
      <c r="D31" s="72">
        <f>SUM(Q5:AB5)</f>
        <v>2040</v>
      </c>
      <c r="E31" s="72">
        <f t="shared" si="15"/>
        <v>2244.0000000000005</v>
      </c>
      <c r="F31" s="72">
        <f t="shared" si="16"/>
        <v>2468.4000000000005</v>
      </c>
      <c r="G31" s="72">
        <f t="shared" si="17"/>
        <v>2715.2400000000002</v>
      </c>
      <c r="H31" s="72">
        <f t="shared" si="18"/>
        <v>2986.764000000001</v>
      </c>
      <c r="I31" s="72">
        <f t="shared" si="19"/>
        <v>3285.4404000000013</v>
      </c>
      <c r="J31" s="72">
        <f t="shared" si="20"/>
        <v>3613.984440000002</v>
      </c>
      <c r="K31" s="72">
        <f t="shared" si="21"/>
        <v>3975.3828840000019</v>
      </c>
      <c r="L31" s="72">
        <f t="shared" si="22"/>
        <v>4372.9211724000033</v>
      </c>
    </row>
    <row r="32" spans="1:124" ht="12.75" customHeight="1">
      <c r="A32" s="101" t="s">
        <v>38</v>
      </c>
      <c r="B32" s="102" t="str">
        <f t="shared" si="23"/>
        <v>Помощник директора</v>
      </c>
      <c r="C32" s="72">
        <f t="shared" si="13"/>
        <v>100</v>
      </c>
      <c r="D32" s="72">
        <f t="shared" si="14"/>
        <v>600</v>
      </c>
      <c r="E32" s="72">
        <f t="shared" si="15"/>
        <v>660.00000000000011</v>
      </c>
      <c r="F32" s="72">
        <f t="shared" si="16"/>
        <v>726.00000000000011</v>
      </c>
      <c r="G32" s="72">
        <f t="shared" si="17"/>
        <v>798.60000000000048</v>
      </c>
      <c r="H32" s="72">
        <f t="shared" si="18"/>
        <v>878.46000000000049</v>
      </c>
      <c r="I32" s="72">
        <f t="shared" si="19"/>
        <v>966.30600000000084</v>
      </c>
      <c r="J32" s="72">
        <f t="shared" si="20"/>
        <v>1062.9366000000007</v>
      </c>
      <c r="K32" s="72">
        <f t="shared" si="21"/>
        <v>1169.230260000001</v>
      </c>
      <c r="L32" s="72">
        <f t="shared" si="22"/>
        <v>1286.1532860000009</v>
      </c>
    </row>
    <row r="33" spans="1:12" ht="12.75" customHeight="1">
      <c r="A33" s="101" t="s">
        <v>137</v>
      </c>
      <c r="B33" s="102" t="str">
        <f t="shared" si="23"/>
        <v>Бухгалтер</v>
      </c>
      <c r="C33" s="72">
        <f t="shared" si="13"/>
        <v>114</v>
      </c>
      <c r="D33" s="72">
        <f t="shared" si="14"/>
        <v>684</v>
      </c>
      <c r="E33" s="72">
        <f t="shared" si="15"/>
        <v>752.40000000000009</v>
      </c>
      <c r="F33" s="72">
        <f t="shared" si="16"/>
        <v>827.64000000000021</v>
      </c>
      <c r="G33" s="72">
        <f t="shared" si="17"/>
        <v>910.404</v>
      </c>
      <c r="H33" s="72">
        <f t="shared" si="18"/>
        <v>1001.4444000000003</v>
      </c>
      <c r="I33" s="72">
        <f t="shared" si="19"/>
        <v>1101.5888400000006</v>
      </c>
      <c r="J33" s="72">
        <f t="shared" si="20"/>
        <v>1211.7477240000007</v>
      </c>
      <c r="K33" s="72">
        <f t="shared" si="21"/>
        <v>1332.9224964000009</v>
      </c>
      <c r="L33" s="72">
        <f t="shared" si="22"/>
        <v>1466.2147460400013</v>
      </c>
    </row>
    <row r="34" spans="1:12" ht="12.75" customHeight="1">
      <c r="A34" s="101" t="s">
        <v>118</v>
      </c>
      <c r="B34" s="102" t="str">
        <f t="shared" si="23"/>
        <v>Менеджер по сбыту</v>
      </c>
      <c r="C34" s="72">
        <f t="shared" si="13"/>
        <v>600</v>
      </c>
      <c r="D34" s="72">
        <f t="shared" si="14"/>
        <v>3600</v>
      </c>
      <c r="E34" s="72">
        <f t="shared" si="15"/>
        <v>3960</v>
      </c>
      <c r="F34" s="72">
        <f t="shared" si="16"/>
        <v>4356.0000000000009</v>
      </c>
      <c r="G34" s="72">
        <f t="shared" si="17"/>
        <v>4791.6000000000013</v>
      </c>
      <c r="H34" s="72">
        <f t="shared" si="18"/>
        <v>5270.760000000002</v>
      </c>
      <c r="I34" s="72">
        <f t="shared" si="19"/>
        <v>5797.8360000000021</v>
      </c>
      <c r="J34" s="72">
        <f t="shared" si="20"/>
        <v>6377.6196000000045</v>
      </c>
      <c r="K34" s="72">
        <f t="shared" si="21"/>
        <v>7015.3815600000025</v>
      </c>
      <c r="L34" s="72">
        <f t="shared" si="22"/>
        <v>7716.919716000004</v>
      </c>
    </row>
    <row r="35" spans="1:12" ht="12.75" customHeight="1">
      <c r="A35" s="101" t="s">
        <v>139</v>
      </c>
      <c r="B35" s="102" t="str">
        <f t="shared" si="23"/>
        <v>Начальник участка</v>
      </c>
      <c r="C35" s="72">
        <f t="shared" si="13"/>
        <v>600</v>
      </c>
      <c r="D35" s="72">
        <f t="shared" si="14"/>
        <v>3600</v>
      </c>
      <c r="E35" s="72">
        <f t="shared" si="15"/>
        <v>3960</v>
      </c>
      <c r="F35" s="72">
        <f t="shared" si="16"/>
        <v>4356.0000000000009</v>
      </c>
      <c r="G35" s="72">
        <f t="shared" si="17"/>
        <v>4791.6000000000013</v>
      </c>
      <c r="H35" s="72">
        <f t="shared" si="18"/>
        <v>5270.760000000002</v>
      </c>
      <c r="I35" s="72">
        <f t="shared" si="19"/>
        <v>5797.8360000000021</v>
      </c>
      <c r="J35" s="72">
        <f t="shared" si="20"/>
        <v>6377.6196000000045</v>
      </c>
      <c r="K35" s="72">
        <f t="shared" si="21"/>
        <v>7015.3815600000025</v>
      </c>
      <c r="L35" s="72">
        <f t="shared" si="22"/>
        <v>7716.919716000004</v>
      </c>
    </row>
    <row r="36" spans="1:12" ht="12.75" customHeight="1">
      <c r="A36" s="101" t="s">
        <v>140</v>
      </c>
      <c r="B36" s="102" t="str">
        <f t="shared" si="23"/>
        <v>Инженер ОТК</v>
      </c>
      <c r="C36" s="72">
        <f t="shared" si="13"/>
        <v>150</v>
      </c>
      <c r="D36" s="72">
        <f t="shared" si="14"/>
        <v>900</v>
      </c>
      <c r="E36" s="72">
        <f t="shared" si="15"/>
        <v>990</v>
      </c>
      <c r="F36" s="72">
        <f t="shared" si="16"/>
        <v>1089.0000000000002</v>
      </c>
      <c r="G36" s="72">
        <f t="shared" si="17"/>
        <v>1197.9000000000003</v>
      </c>
      <c r="H36" s="72">
        <f t="shared" si="18"/>
        <v>1317.6900000000005</v>
      </c>
      <c r="I36" s="72">
        <f t="shared" si="19"/>
        <v>1449.4590000000005</v>
      </c>
      <c r="J36" s="72">
        <f t="shared" si="20"/>
        <v>1594.4049000000011</v>
      </c>
      <c r="K36" s="72">
        <f t="shared" si="21"/>
        <v>1753.8453900000006</v>
      </c>
      <c r="L36" s="72">
        <f t="shared" si="22"/>
        <v>1929.229929000001</v>
      </c>
    </row>
    <row r="37" spans="1:12" ht="12.75" customHeight="1">
      <c r="A37" s="101" t="s">
        <v>224</v>
      </c>
      <c r="B37" s="102" t="str">
        <f t="shared" si="23"/>
        <v>Инженер технолог</v>
      </c>
      <c r="C37" s="72">
        <f t="shared" si="13"/>
        <v>150</v>
      </c>
      <c r="D37" s="72">
        <f t="shared" si="14"/>
        <v>900</v>
      </c>
      <c r="E37" s="72">
        <f t="shared" si="15"/>
        <v>990</v>
      </c>
      <c r="F37" s="72">
        <f t="shared" si="16"/>
        <v>1089.0000000000002</v>
      </c>
      <c r="G37" s="72">
        <f t="shared" si="17"/>
        <v>1197.9000000000003</v>
      </c>
      <c r="H37" s="72">
        <f t="shared" si="18"/>
        <v>1317.6900000000005</v>
      </c>
      <c r="I37" s="72">
        <f t="shared" si="19"/>
        <v>1449.4590000000005</v>
      </c>
      <c r="J37" s="72">
        <f t="shared" si="20"/>
        <v>1594.4049000000011</v>
      </c>
      <c r="K37" s="72">
        <f t="shared" si="21"/>
        <v>1753.8453900000006</v>
      </c>
      <c r="L37" s="72">
        <f t="shared" si="22"/>
        <v>1929.229929000001</v>
      </c>
    </row>
    <row r="38" spans="1:12" ht="12.75" customHeight="1">
      <c r="A38" s="101" t="s">
        <v>230</v>
      </c>
      <c r="B38" s="102" t="str">
        <f t="shared" si="23"/>
        <v>Кладовщик</v>
      </c>
      <c r="C38" s="72">
        <f t="shared" si="13"/>
        <v>228</v>
      </c>
      <c r="D38" s="72">
        <f t="shared" si="14"/>
        <v>1368</v>
      </c>
      <c r="E38" s="72">
        <f t="shared" si="15"/>
        <v>1504.8000000000002</v>
      </c>
      <c r="F38" s="72">
        <f t="shared" si="16"/>
        <v>1655.2800000000004</v>
      </c>
      <c r="G38" s="72">
        <f t="shared" si="17"/>
        <v>1820.808</v>
      </c>
      <c r="H38" s="72">
        <f t="shared" si="18"/>
        <v>2002.8888000000006</v>
      </c>
      <c r="I38" s="72">
        <f t="shared" si="19"/>
        <v>2203.1776800000011</v>
      </c>
      <c r="J38" s="72">
        <f t="shared" si="20"/>
        <v>2423.4954480000015</v>
      </c>
      <c r="K38" s="72">
        <f t="shared" si="21"/>
        <v>2665.8449928000018</v>
      </c>
      <c r="L38" s="72">
        <f t="shared" si="22"/>
        <v>2932.4294920800025</v>
      </c>
    </row>
    <row r="39" spans="1:12">
      <c r="A39" s="108">
        <v>2</v>
      </c>
      <c r="B39" s="109" t="str">
        <f t="shared" si="23"/>
        <v>Производственный персонал</v>
      </c>
      <c r="C39" s="110">
        <f t="shared" si="13"/>
        <v>1110</v>
      </c>
      <c r="D39" s="110">
        <f t="shared" si="14"/>
        <v>7181</v>
      </c>
      <c r="E39" s="110">
        <f t="shared" si="15"/>
        <v>14203.200000000003</v>
      </c>
      <c r="F39" s="110">
        <f t="shared" si="16"/>
        <v>15623.520000000006</v>
      </c>
      <c r="G39" s="110">
        <f t="shared" si="17"/>
        <v>17185.872000000007</v>
      </c>
      <c r="H39" s="110">
        <f t="shared" si="18"/>
        <v>18904.459200000005</v>
      </c>
      <c r="I39" s="110">
        <f t="shared" si="19"/>
        <v>20794.905120000003</v>
      </c>
      <c r="J39" s="110">
        <f t="shared" si="20"/>
        <v>22874.395632000011</v>
      </c>
      <c r="K39" s="110">
        <f t="shared" si="21"/>
        <v>25161.835195200008</v>
      </c>
      <c r="L39" s="110">
        <f t="shared" si="22"/>
        <v>27678.018714720016</v>
      </c>
    </row>
    <row r="40" spans="1:12">
      <c r="A40" s="101" t="s">
        <v>39</v>
      </c>
      <c r="B40" s="102" t="str">
        <f t="shared" si="23"/>
        <v>Наладчик</v>
      </c>
      <c r="C40" s="72">
        <f t="shared" si="13"/>
        <v>138</v>
      </c>
      <c r="D40" s="72">
        <f t="shared" si="14"/>
        <v>897</v>
      </c>
      <c r="E40" s="72">
        <f t="shared" si="15"/>
        <v>1821.5999999999997</v>
      </c>
      <c r="F40" s="72">
        <f t="shared" si="16"/>
        <v>2003.7600000000002</v>
      </c>
      <c r="G40" s="72">
        <f t="shared" si="17"/>
        <v>2204.1360000000009</v>
      </c>
      <c r="H40" s="72">
        <f t="shared" si="18"/>
        <v>2424.5496000000007</v>
      </c>
      <c r="I40" s="72">
        <f t="shared" si="19"/>
        <v>2667.0045599999999</v>
      </c>
      <c r="J40" s="72">
        <f t="shared" si="20"/>
        <v>2933.7050160000003</v>
      </c>
      <c r="K40" s="72">
        <f t="shared" si="21"/>
        <v>3227.0755176000016</v>
      </c>
      <c r="L40" s="72">
        <f t="shared" si="22"/>
        <v>3549.7830693600026</v>
      </c>
    </row>
    <row r="41" spans="1:12">
      <c r="A41" s="101" t="s">
        <v>40</v>
      </c>
      <c r="B41" s="102" t="str">
        <f t="shared" si="23"/>
        <v>Станочник</v>
      </c>
      <c r="C41" s="72">
        <f t="shared" si="13"/>
        <v>228</v>
      </c>
      <c r="D41" s="72">
        <f t="shared" si="14"/>
        <v>1482</v>
      </c>
      <c r="E41" s="72">
        <f t="shared" si="15"/>
        <v>3009.6000000000004</v>
      </c>
      <c r="F41" s="72">
        <f t="shared" si="16"/>
        <v>3310.5600000000009</v>
      </c>
      <c r="G41" s="72">
        <f t="shared" si="17"/>
        <v>3641.616</v>
      </c>
      <c r="H41" s="72">
        <f t="shared" si="18"/>
        <v>4005.7776000000013</v>
      </c>
      <c r="I41" s="72">
        <f t="shared" si="19"/>
        <v>4406.3553600000023</v>
      </c>
      <c r="J41" s="72">
        <f t="shared" si="20"/>
        <v>4846.990896000003</v>
      </c>
      <c r="K41" s="72">
        <f t="shared" si="21"/>
        <v>5331.6899856000036</v>
      </c>
      <c r="L41" s="72">
        <f t="shared" si="22"/>
        <v>5864.8589841600051</v>
      </c>
    </row>
    <row r="42" spans="1:12">
      <c r="A42" s="101" t="s">
        <v>125</v>
      </c>
      <c r="B42" s="102" t="str">
        <f t="shared" si="23"/>
        <v>Маляр порошковой окраски</v>
      </c>
      <c r="C42" s="72">
        <f t="shared" si="13"/>
        <v>320</v>
      </c>
      <c r="D42" s="72">
        <f t="shared" si="14"/>
        <v>2000</v>
      </c>
      <c r="E42" s="72">
        <f t="shared" si="15"/>
        <v>3168</v>
      </c>
      <c r="F42" s="72">
        <f t="shared" si="16"/>
        <v>3484.8000000000006</v>
      </c>
      <c r="G42" s="72">
        <f t="shared" si="17"/>
        <v>3833.2800000000007</v>
      </c>
      <c r="H42" s="72">
        <f t="shared" si="18"/>
        <v>4216.6080000000011</v>
      </c>
      <c r="I42" s="72">
        <f t="shared" si="19"/>
        <v>4638.2688000000016</v>
      </c>
      <c r="J42" s="72">
        <f t="shared" si="20"/>
        <v>5102.0956800000022</v>
      </c>
      <c r="K42" s="72">
        <f t="shared" si="21"/>
        <v>5612.3052480000042</v>
      </c>
      <c r="L42" s="72">
        <f t="shared" si="22"/>
        <v>6173.5357728000045</v>
      </c>
    </row>
    <row r="43" spans="1:12">
      <c r="A43" s="101" t="s">
        <v>289</v>
      </c>
      <c r="B43" s="102" t="str">
        <f t="shared" si="23"/>
        <v>Резчик металла</v>
      </c>
      <c r="C43" s="72">
        <f t="shared" si="13"/>
        <v>126</v>
      </c>
      <c r="D43" s="72">
        <f t="shared" si="14"/>
        <v>819</v>
      </c>
      <c r="E43" s="72">
        <f t="shared" si="15"/>
        <v>1663.1999999999998</v>
      </c>
      <c r="F43" s="72">
        <f t="shared" si="16"/>
        <v>1829.5200000000004</v>
      </c>
      <c r="G43" s="72">
        <f t="shared" si="17"/>
        <v>2012.4720000000009</v>
      </c>
      <c r="H43" s="72">
        <f t="shared" si="18"/>
        <v>2213.7192000000005</v>
      </c>
      <c r="I43" s="72">
        <f t="shared" si="19"/>
        <v>2435.091120000001</v>
      </c>
      <c r="J43" s="72">
        <f t="shared" si="20"/>
        <v>2678.6002320000021</v>
      </c>
      <c r="K43" s="72">
        <f t="shared" si="21"/>
        <v>2946.4602552000028</v>
      </c>
      <c r="L43" s="72">
        <f t="shared" si="22"/>
        <v>3241.1062807200019</v>
      </c>
    </row>
    <row r="44" spans="1:12">
      <c r="A44" s="101" t="s">
        <v>290</v>
      </c>
      <c r="B44" s="102" t="str">
        <f t="shared" si="23"/>
        <v>Оператор гибочного станка</v>
      </c>
      <c r="C44" s="72">
        <f t="shared" si="13"/>
        <v>126</v>
      </c>
      <c r="D44" s="72">
        <f t="shared" si="14"/>
        <v>819</v>
      </c>
      <c r="E44" s="72">
        <f t="shared" si="15"/>
        <v>1663.1999999999998</v>
      </c>
      <c r="F44" s="72">
        <f t="shared" si="16"/>
        <v>1829.5200000000004</v>
      </c>
      <c r="G44" s="72">
        <f t="shared" si="17"/>
        <v>2012.4720000000009</v>
      </c>
      <c r="H44" s="72">
        <f t="shared" si="18"/>
        <v>2213.7192000000005</v>
      </c>
      <c r="I44" s="72">
        <f t="shared" si="19"/>
        <v>2435.091120000001</v>
      </c>
      <c r="J44" s="72">
        <f t="shared" si="20"/>
        <v>2678.6002320000021</v>
      </c>
      <c r="K44" s="72">
        <f t="shared" si="21"/>
        <v>2946.4602552000028</v>
      </c>
      <c r="L44" s="72">
        <f t="shared" si="22"/>
        <v>3241.1062807200019</v>
      </c>
    </row>
    <row r="45" spans="1:12">
      <c r="A45" s="101" t="s">
        <v>291</v>
      </c>
      <c r="B45" s="102" t="str">
        <f t="shared" si="23"/>
        <v>Рабочий на производство</v>
      </c>
      <c r="C45" s="72">
        <f t="shared" si="13"/>
        <v>92</v>
      </c>
      <c r="D45" s="72">
        <f t="shared" si="14"/>
        <v>644</v>
      </c>
      <c r="E45" s="72">
        <f t="shared" si="15"/>
        <v>1821.5999999999997</v>
      </c>
      <c r="F45" s="72">
        <f t="shared" si="16"/>
        <v>2003.7600000000002</v>
      </c>
      <c r="G45" s="72">
        <f t="shared" si="17"/>
        <v>2204.1360000000009</v>
      </c>
      <c r="H45" s="72">
        <f t="shared" si="18"/>
        <v>2424.5496000000007</v>
      </c>
      <c r="I45" s="72">
        <f t="shared" si="19"/>
        <v>2667.0045599999999</v>
      </c>
      <c r="J45" s="72">
        <f t="shared" si="20"/>
        <v>2933.7050160000003</v>
      </c>
      <c r="K45" s="72">
        <f t="shared" si="21"/>
        <v>3227.0755176000016</v>
      </c>
      <c r="L45" s="72">
        <f t="shared" si="22"/>
        <v>3549.7830693600026</v>
      </c>
    </row>
    <row r="46" spans="1:12">
      <c r="A46" s="101" t="s">
        <v>292</v>
      </c>
      <c r="B46" s="102" t="str">
        <f t="shared" si="23"/>
        <v>Грузчик</v>
      </c>
      <c r="C46" s="72">
        <f t="shared" si="13"/>
        <v>80</v>
      </c>
      <c r="D46" s="72">
        <f t="shared" si="14"/>
        <v>520</v>
      </c>
      <c r="E46" s="72">
        <f t="shared" si="15"/>
        <v>1056</v>
      </c>
      <c r="F46" s="72">
        <f t="shared" si="16"/>
        <v>1161.5999999999999</v>
      </c>
      <c r="G46" s="72">
        <f t="shared" si="17"/>
        <v>1277.7600000000002</v>
      </c>
      <c r="H46" s="72">
        <f t="shared" si="18"/>
        <v>1405.5360000000001</v>
      </c>
      <c r="I46" s="72">
        <f t="shared" si="19"/>
        <v>1546.0896</v>
      </c>
      <c r="J46" s="72">
        <f t="shared" si="20"/>
        <v>1700.69856</v>
      </c>
      <c r="K46" s="72">
        <f t="shared" si="21"/>
        <v>1870.768416000001</v>
      </c>
      <c r="L46" s="72">
        <f t="shared" si="22"/>
        <v>2057.8452576000004</v>
      </c>
    </row>
    <row r="47" spans="1:12">
      <c r="A47" s="108">
        <v>3</v>
      </c>
      <c r="B47" s="109" t="str">
        <f t="shared" si="23"/>
        <v>Вспомогательный персонал</v>
      </c>
      <c r="C47" s="110">
        <f t="shared" si="13"/>
        <v>300</v>
      </c>
      <c r="D47" s="110">
        <f t="shared" si="14"/>
        <v>1800</v>
      </c>
      <c r="E47" s="110">
        <f t="shared" si="15"/>
        <v>1980</v>
      </c>
      <c r="F47" s="110">
        <f t="shared" si="16"/>
        <v>2178.0000000000005</v>
      </c>
      <c r="G47" s="110">
        <f t="shared" si="17"/>
        <v>2395.8000000000006</v>
      </c>
      <c r="H47" s="110">
        <f t="shared" si="18"/>
        <v>2635.380000000001</v>
      </c>
      <c r="I47" s="110">
        <f t="shared" si="19"/>
        <v>2898.918000000001</v>
      </c>
      <c r="J47" s="110">
        <f t="shared" si="20"/>
        <v>3188.8098000000023</v>
      </c>
      <c r="K47" s="110">
        <f t="shared" si="21"/>
        <v>3507.6907800000013</v>
      </c>
      <c r="L47" s="110">
        <f t="shared" si="22"/>
        <v>3858.4598580000024</v>
      </c>
    </row>
    <row r="48" spans="1:12">
      <c r="A48" s="101" t="s">
        <v>41</v>
      </c>
      <c r="B48" s="102" t="str">
        <f t="shared" si="23"/>
        <v>Уборщик, дворник</v>
      </c>
      <c r="C48" s="72">
        <f t="shared" si="13"/>
        <v>60</v>
      </c>
      <c r="D48" s="72">
        <f t="shared" si="14"/>
        <v>360</v>
      </c>
      <c r="E48" s="72">
        <f t="shared" si="15"/>
        <v>396</v>
      </c>
      <c r="F48" s="72">
        <f t="shared" si="16"/>
        <v>435.60000000000008</v>
      </c>
      <c r="G48" s="72">
        <f t="shared" si="17"/>
        <v>479.16000000000008</v>
      </c>
      <c r="H48" s="72">
        <f t="shared" si="18"/>
        <v>527.07600000000014</v>
      </c>
      <c r="I48" s="72">
        <f t="shared" si="19"/>
        <v>579.78360000000021</v>
      </c>
      <c r="J48" s="72">
        <f t="shared" si="20"/>
        <v>637.76196000000027</v>
      </c>
      <c r="K48" s="72">
        <f t="shared" si="21"/>
        <v>701.53815600000053</v>
      </c>
      <c r="L48" s="72">
        <f t="shared" si="22"/>
        <v>771.69197160000056</v>
      </c>
    </row>
    <row r="49" spans="1:12">
      <c r="A49" s="101" t="s">
        <v>146</v>
      </c>
      <c r="B49" s="102" t="str">
        <f t="shared" si="23"/>
        <v>Охранник</v>
      </c>
      <c r="C49" s="72">
        <f t="shared" si="13"/>
        <v>240</v>
      </c>
      <c r="D49" s="72">
        <f t="shared" si="14"/>
        <v>1440</v>
      </c>
      <c r="E49" s="72">
        <f t="shared" si="15"/>
        <v>1584</v>
      </c>
      <c r="F49" s="72">
        <f t="shared" si="16"/>
        <v>1742.4000000000003</v>
      </c>
      <c r="G49" s="72">
        <f t="shared" si="17"/>
        <v>1916.6400000000003</v>
      </c>
      <c r="H49" s="72">
        <f t="shared" si="18"/>
        <v>2108.3040000000005</v>
      </c>
      <c r="I49" s="72">
        <f t="shared" si="19"/>
        <v>2319.1344000000008</v>
      </c>
      <c r="J49" s="72">
        <f t="shared" si="20"/>
        <v>2551.0478400000011</v>
      </c>
      <c r="K49" s="72">
        <f t="shared" si="21"/>
        <v>2806.1526240000021</v>
      </c>
      <c r="L49" s="72">
        <f t="shared" si="22"/>
        <v>3086.7678864000022</v>
      </c>
    </row>
    <row r="50" spans="1:12">
      <c r="A50" s="108"/>
      <c r="B50" s="109" t="str">
        <f t="shared" ref="B50" si="24">B24</f>
        <v>Итого</v>
      </c>
      <c r="C50" s="110">
        <f t="shared" si="13"/>
        <v>3692</v>
      </c>
      <c r="D50" s="110">
        <f t="shared" ref="D50" si="25">SUM(Q24:AB24)</f>
        <v>22673</v>
      </c>
      <c r="E50" s="110">
        <f t="shared" si="15"/>
        <v>31244.400000000005</v>
      </c>
      <c r="F50" s="110">
        <f t="shared" si="16"/>
        <v>34368.840000000004</v>
      </c>
      <c r="G50" s="110">
        <f t="shared" si="17"/>
        <v>37805.724000000002</v>
      </c>
      <c r="H50" s="110">
        <f t="shared" si="18"/>
        <v>41586.296400000014</v>
      </c>
      <c r="I50" s="110">
        <f t="shared" si="19"/>
        <v>45744.92604000002</v>
      </c>
      <c r="J50" s="110">
        <f t="shared" si="20"/>
        <v>50319.418644000027</v>
      </c>
      <c r="K50" s="110">
        <f t="shared" si="21"/>
        <v>55351.360508400045</v>
      </c>
      <c r="L50" s="110">
        <f t="shared" si="22"/>
        <v>60886.496559240019</v>
      </c>
    </row>
    <row r="52" spans="1:12">
      <c r="C52" s="330"/>
      <c r="D52" s="330"/>
    </row>
  </sheetData>
  <mergeCells count="11">
    <mergeCell ref="E2:P2"/>
    <mergeCell ref="Q2:AB2"/>
    <mergeCell ref="AC2:AN2"/>
    <mergeCell ref="AO2:AZ2"/>
    <mergeCell ref="BA2:BL2"/>
    <mergeCell ref="CK2:CV2"/>
    <mergeCell ref="CW2:DH2"/>
    <mergeCell ref="DI2:DT2"/>
    <mergeCell ref="DU2:EF2"/>
    <mergeCell ref="BM2:BX2"/>
    <mergeCell ref="BY2:CJ2"/>
  </mergeCells>
  <pageMargins left="0.25" right="0.25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Проект</vt:lpstr>
      <vt:lpstr>Исх.данные</vt:lpstr>
      <vt:lpstr>График реализации</vt:lpstr>
      <vt:lpstr>Прогноз цен</vt:lpstr>
      <vt:lpstr>Инвестиции</vt:lpstr>
      <vt:lpstr>Продажи и Выручка</vt:lpstr>
      <vt:lpstr>Переменные издержки проекта</vt:lpstr>
      <vt:lpstr>Постоянные издержки проекта</vt:lpstr>
      <vt:lpstr>Персонал</vt:lpstr>
      <vt:lpstr>Налоги</vt:lpstr>
      <vt:lpstr>ДДС</vt:lpstr>
      <vt:lpstr>ОПиУ</vt:lpstr>
      <vt:lpstr>Фин. показатели</vt:lpstr>
      <vt:lpstr>Анализ чувствительности</vt:lpstr>
      <vt:lpstr>Точка безубыточности</vt:lpstr>
      <vt:lpstr>Анализ безубыточности</vt:lpstr>
      <vt:lpstr>Ст.дисконт</vt:lpstr>
      <vt:lpstr>Исходные_данные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Макаренко</dc:creator>
  <cp:lastModifiedBy>user</cp:lastModifiedBy>
  <cp:lastPrinted>2017-08-02T11:14:55Z</cp:lastPrinted>
  <dcterms:created xsi:type="dcterms:W3CDTF">2011-11-25T10:36:15Z</dcterms:created>
  <dcterms:modified xsi:type="dcterms:W3CDTF">2025-12-02T14:41:15Z</dcterms:modified>
</cp:coreProperties>
</file>